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M\Desktop\план 2023 для МЗ\Учебные планы 2022-23\"/>
    </mc:Choice>
  </mc:AlternateContent>
  <xr:revisionPtr revIDLastSave="0" documentId="13_ncr:1_{8F7DDC21-32E9-4B8E-89B8-D5126B44934C}" xr6:coauthVersionLast="47" xr6:coauthVersionMax="47" xr10:uidLastSave="{00000000-0000-0000-0000-000000000000}"/>
  <bookViews>
    <workbookView xWindow="2148" yWindow="1128" windowWidth="19548" windowHeight="10584" firstSheet="7" activeTab="10" xr2:uid="{00000000-000D-0000-FFFF-FFFF00000000}"/>
  </bookViews>
  <sheets>
    <sheet name="титульный лист 1" sheetId="12" r:id="rId1"/>
    <sheet name="фортепиано ДПП" sheetId="1" r:id="rId2"/>
    <sheet name="фортепиано ДПП 9 класс" sheetId="18" r:id="rId3"/>
    <sheet name="Примечание к ОП Фортепиано" sheetId="16" r:id="rId4"/>
    <sheet name="струнные ДПП" sheetId="2" r:id="rId5"/>
    <sheet name="духовые,ударные ДПП-8" sheetId="3" r:id="rId6"/>
    <sheet name="духовые, ударные ДПП-5" sheetId="5" r:id="rId7"/>
    <sheet name="ОНИ ДПП-8" sheetId="17" r:id="rId8"/>
    <sheet name="ОНИ ДПП-5" sheetId="6" r:id="rId9"/>
    <sheet name="ОНИ ДПП-5 6 класс" sheetId="19" r:id="rId10"/>
    <sheet name="хоровое пение ДПП-8" sheetId="8" r:id="rId11"/>
  </sheets>
  <definedNames>
    <definedName name="_xlnm.Print_Area" localSheetId="6">'духовые, ударные ДПП-5'!$A$1:$N$46</definedName>
    <definedName name="_xlnm.Print_Area" localSheetId="8">'ОНИ ДПП-5'!$A$1:$N$43</definedName>
    <definedName name="_xlnm.Print_Area" localSheetId="0">'титульный лист 1'!$A$1:$W$39</definedName>
    <definedName name="_xlnm.Print_Area" localSheetId="1">'фортепиано ДПП'!$A$1:$Q$44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8" l="1"/>
  <c r="C34" i="8"/>
  <c r="R31" i="8"/>
  <c r="Q31" i="8"/>
  <c r="P31" i="8"/>
  <c r="O31" i="8"/>
  <c r="N31" i="8"/>
  <c r="M31" i="8"/>
  <c r="L31" i="8"/>
  <c r="K31" i="8"/>
  <c r="J31" i="8"/>
  <c r="F30" i="8"/>
  <c r="F29" i="8"/>
  <c r="G28" i="8"/>
  <c r="E27" i="8"/>
  <c r="E26" i="8"/>
  <c r="N23" i="8"/>
  <c r="F22" i="8"/>
  <c r="D22" i="8"/>
  <c r="D20" i="8" s="1"/>
  <c r="C22" i="8"/>
  <c r="F21" i="8"/>
  <c r="C21" i="8" s="1"/>
  <c r="C20" i="8" s="1"/>
  <c r="R17" i="8"/>
  <c r="R23" i="8" s="1"/>
  <c r="Q17" i="8"/>
  <c r="Q23" i="8" s="1"/>
  <c r="P17" i="8"/>
  <c r="P23" i="8" s="1"/>
  <c r="O17" i="8"/>
  <c r="O23" i="8" s="1"/>
  <c r="N17" i="8"/>
  <c r="M17" i="8"/>
  <c r="M23" i="8" s="1"/>
  <c r="L17" i="8"/>
  <c r="L23" i="8" s="1"/>
  <c r="K17" i="8"/>
  <c r="K23" i="8" s="1"/>
  <c r="J17" i="8"/>
  <c r="J23" i="8" s="1"/>
  <c r="F16" i="8"/>
  <c r="D16" i="8"/>
  <c r="C16" i="8" s="1"/>
  <c r="F15" i="8"/>
  <c r="D15" i="8"/>
  <c r="C15" i="8"/>
  <c r="F14" i="8"/>
  <c r="C14" i="8" s="1"/>
  <c r="D14" i="8"/>
  <c r="D13" i="8" s="1"/>
  <c r="G12" i="8"/>
  <c r="D12" i="8"/>
  <c r="C12" i="8" s="1"/>
  <c r="G11" i="8"/>
  <c r="D11" i="8"/>
  <c r="D9" i="8" s="1"/>
  <c r="D18" i="8" s="1"/>
  <c r="E10" i="8"/>
  <c r="D10" i="8"/>
  <c r="C10" i="8" s="1"/>
  <c r="E9" i="8"/>
  <c r="D24" i="8" l="1"/>
  <c r="D8" i="8"/>
  <c r="C13" i="8"/>
  <c r="C11" i="8"/>
  <c r="C9" i="8" s="1"/>
  <c r="C18" i="8" s="1"/>
  <c r="E13" i="8"/>
  <c r="E17" i="8" s="1"/>
  <c r="E20" i="8"/>
  <c r="C24" i="8" l="1"/>
  <c r="C8" i="8"/>
  <c r="E8" i="8"/>
  <c r="E23" i="8"/>
  <c r="E24" i="8" s="1"/>
  <c r="E18" i="8"/>
  <c r="C21" i="2" l="1"/>
  <c r="D21" i="2"/>
  <c r="E21" i="2"/>
  <c r="E24" i="2"/>
  <c r="D24" i="2"/>
  <c r="C24" i="2" s="1"/>
  <c r="F31" i="2" l="1"/>
  <c r="D10" i="19"/>
  <c r="C33" i="19"/>
  <c r="K30" i="19"/>
  <c r="J30" i="19"/>
  <c r="E29" i="19"/>
  <c r="F28" i="19"/>
  <c r="F27" i="19"/>
  <c r="F26" i="19"/>
  <c r="G25" i="19"/>
  <c r="K21" i="19"/>
  <c r="J21" i="19"/>
  <c r="E20" i="19"/>
  <c r="D20" i="19"/>
  <c r="C20" i="19" s="1"/>
  <c r="E19" i="19"/>
  <c r="D19" i="19"/>
  <c r="C19" i="19"/>
  <c r="K16" i="19"/>
  <c r="K17" i="19" s="1"/>
  <c r="K22" i="19" s="1"/>
  <c r="J16" i="19"/>
  <c r="J17" i="19" s="1"/>
  <c r="J22" i="19" s="1"/>
  <c r="F15" i="19"/>
  <c r="C15" i="19" s="1"/>
  <c r="D15" i="19"/>
  <c r="F14" i="19"/>
  <c r="D14" i="19"/>
  <c r="C14" i="19"/>
  <c r="F13" i="19"/>
  <c r="E12" i="19" s="1"/>
  <c r="D13" i="19"/>
  <c r="D12" i="19" s="1"/>
  <c r="C13" i="19"/>
  <c r="F11" i="19"/>
  <c r="D11" i="19"/>
  <c r="C11" i="19" s="1"/>
  <c r="G10" i="19"/>
  <c r="E9" i="19" s="1"/>
  <c r="D20" i="18"/>
  <c r="C20" i="18" s="1"/>
  <c r="D19" i="18"/>
  <c r="D11" i="18"/>
  <c r="D9" i="18" s="1"/>
  <c r="D15" i="18"/>
  <c r="D14" i="18"/>
  <c r="D13" i="18"/>
  <c r="D10" i="18"/>
  <c r="E29" i="18"/>
  <c r="F28" i="18"/>
  <c r="E24" i="18" s="1"/>
  <c r="F27" i="18"/>
  <c r="F26" i="18"/>
  <c r="G25" i="18"/>
  <c r="E20" i="18"/>
  <c r="F15" i="18"/>
  <c r="F14" i="18"/>
  <c r="F13" i="18"/>
  <c r="F11" i="18"/>
  <c r="G10" i="18"/>
  <c r="C33" i="18"/>
  <c r="K30" i="18"/>
  <c r="J30" i="18"/>
  <c r="K21" i="18"/>
  <c r="J21" i="18"/>
  <c r="K16" i="18"/>
  <c r="K17" i="18" s="1"/>
  <c r="K22" i="18" s="1"/>
  <c r="J16" i="18"/>
  <c r="J17" i="18" s="1"/>
  <c r="J22" i="18" s="1"/>
  <c r="K26" i="5"/>
  <c r="L26" i="5"/>
  <c r="M26" i="5"/>
  <c r="N26" i="5"/>
  <c r="J26" i="5"/>
  <c r="K27" i="3"/>
  <c r="L27" i="3"/>
  <c r="M27" i="3"/>
  <c r="N27" i="3"/>
  <c r="O27" i="3"/>
  <c r="P27" i="3"/>
  <c r="Q27" i="3"/>
  <c r="J27" i="3"/>
  <c r="E24" i="19" l="1"/>
  <c r="C10" i="19"/>
  <c r="C9" i="19" s="1"/>
  <c r="E16" i="19"/>
  <c r="C12" i="19"/>
  <c r="D9" i="19"/>
  <c r="D8" i="19" s="1"/>
  <c r="E9" i="18"/>
  <c r="E19" i="18"/>
  <c r="C19" i="18" s="1"/>
  <c r="C14" i="18"/>
  <c r="C15" i="18"/>
  <c r="C13" i="18"/>
  <c r="D12" i="18"/>
  <c r="D17" i="18" s="1"/>
  <c r="E12" i="18"/>
  <c r="C11" i="18"/>
  <c r="C9" i="18" s="1"/>
  <c r="C10" i="18"/>
  <c r="D24" i="6"/>
  <c r="C24" i="19" l="1"/>
  <c r="E8" i="19"/>
  <c r="E17" i="19"/>
  <c r="E21" i="19"/>
  <c r="E22" i="19" s="1"/>
  <c r="D17" i="19"/>
  <c r="D22" i="19" s="1"/>
  <c r="C24" i="18"/>
  <c r="C12" i="18"/>
  <c r="D8" i="18"/>
  <c r="D22" i="18"/>
  <c r="E16" i="18"/>
  <c r="E21" i="18" s="1"/>
  <c r="E22" i="18" s="1"/>
  <c r="G10" i="6"/>
  <c r="D12" i="1"/>
  <c r="C17" i="19" l="1"/>
  <c r="C8" i="19"/>
  <c r="C22" i="19"/>
  <c r="E8" i="18"/>
  <c r="E17" i="18"/>
  <c r="C17" i="18" s="1"/>
  <c r="C8" i="18" s="1"/>
  <c r="G25" i="1"/>
  <c r="G12" i="1"/>
  <c r="N37" i="5"/>
  <c r="M37" i="5"/>
  <c r="L37" i="5"/>
  <c r="K37" i="5"/>
  <c r="E36" i="5"/>
  <c r="K38" i="3"/>
  <c r="L38" i="3"/>
  <c r="M38" i="3"/>
  <c r="N38" i="3"/>
  <c r="O38" i="3"/>
  <c r="P38" i="3"/>
  <c r="Q38" i="3"/>
  <c r="J38" i="3"/>
  <c r="E37" i="3"/>
  <c r="C22" i="18" l="1"/>
  <c r="E23" i="5"/>
  <c r="D23" i="5"/>
  <c r="E24" i="3"/>
  <c r="D24" i="3"/>
  <c r="D26" i="3"/>
  <c r="D25" i="17"/>
  <c r="D24" i="17"/>
  <c r="C40" i="1"/>
  <c r="C39" i="1"/>
  <c r="C40" i="2"/>
  <c r="C39" i="2"/>
  <c r="C42" i="3"/>
  <c r="C41" i="3"/>
  <c r="C39" i="17"/>
  <c r="C40" i="17"/>
  <c r="C41" i="5"/>
  <c r="C40" i="5"/>
  <c r="C39" i="6"/>
  <c r="C38" i="6"/>
  <c r="F25" i="5"/>
  <c r="D23" i="6"/>
  <c r="D20" i="6" s="1"/>
  <c r="D16" i="6"/>
  <c r="D15" i="6"/>
  <c r="D13" i="6"/>
  <c r="D12" i="6"/>
  <c r="D11" i="6"/>
  <c r="D10" i="6"/>
  <c r="D25" i="3"/>
  <c r="D17" i="17"/>
  <c r="D16" i="17"/>
  <c r="D15" i="17"/>
  <c r="D13" i="17"/>
  <c r="D12" i="17"/>
  <c r="D11" i="17"/>
  <c r="D10" i="17"/>
  <c r="D9" i="17" s="1"/>
  <c r="D14" i="6" l="1"/>
  <c r="D14" i="17"/>
  <c r="D8" i="17"/>
  <c r="C23" i="5"/>
  <c r="C24" i="3"/>
  <c r="D21" i="17"/>
  <c r="D9" i="6"/>
  <c r="D25" i="5"/>
  <c r="C25" i="5" s="1"/>
  <c r="D24" i="5"/>
  <c r="D16" i="5"/>
  <c r="D15" i="5"/>
  <c r="D13" i="5"/>
  <c r="D12" i="5"/>
  <c r="D11" i="5"/>
  <c r="D10" i="5"/>
  <c r="D10" i="3"/>
  <c r="D11" i="3"/>
  <c r="D12" i="3"/>
  <c r="D17" i="3"/>
  <c r="D16" i="3"/>
  <c r="D15" i="3"/>
  <c r="D13" i="3"/>
  <c r="D25" i="2"/>
  <c r="D17" i="2"/>
  <c r="D16" i="2"/>
  <c r="D15" i="2"/>
  <c r="D13" i="2"/>
  <c r="D12" i="2"/>
  <c r="D11" i="2"/>
  <c r="D10" i="2"/>
  <c r="D18" i="6" l="1"/>
  <c r="D26" i="6" s="1"/>
  <c r="D8" i="6"/>
  <c r="D19" i="17"/>
  <c r="D27" i="17" s="1"/>
  <c r="D9" i="2"/>
  <c r="D14" i="2"/>
  <c r="D19" i="2" s="1"/>
  <c r="D14" i="5"/>
  <c r="D9" i="5"/>
  <c r="D18" i="5" s="1"/>
  <c r="D14" i="3"/>
  <c r="D20" i="5"/>
  <c r="D9" i="3"/>
  <c r="D21" i="1"/>
  <c r="D17" i="1"/>
  <c r="D16" i="1"/>
  <c r="D15" i="1"/>
  <c r="D14" i="1" s="1"/>
  <c r="D13" i="1"/>
  <c r="C12" i="1"/>
  <c r="D11" i="1"/>
  <c r="D10" i="1"/>
  <c r="D8" i="2" l="1"/>
  <c r="D27" i="5"/>
  <c r="D8" i="5"/>
  <c r="D19" i="3"/>
  <c r="D8" i="3"/>
  <c r="D9" i="1"/>
  <c r="D8" i="1" s="1"/>
  <c r="F22" i="17"/>
  <c r="C22" i="17" s="1"/>
  <c r="F22" i="3"/>
  <c r="C22" i="3" s="1"/>
  <c r="K25" i="6"/>
  <c r="L25" i="6"/>
  <c r="M25" i="6"/>
  <c r="J25" i="6"/>
  <c r="F21" i="6"/>
  <c r="C21" i="6" s="1"/>
  <c r="F21" i="5"/>
  <c r="C21" i="5" s="1"/>
  <c r="F26" i="3"/>
  <c r="C26" i="3" s="1"/>
  <c r="F22" i="2"/>
  <c r="C22" i="2" s="1"/>
  <c r="F22" i="1"/>
  <c r="N25" i="6"/>
  <c r="G22" i="6"/>
  <c r="C22" i="6" s="1"/>
  <c r="C22" i="1" l="1"/>
  <c r="D19" i="1"/>
  <c r="D27" i="1" s="1"/>
  <c r="K26" i="1"/>
  <c r="L26" i="1"/>
  <c r="M26" i="1"/>
  <c r="N26" i="1"/>
  <c r="O26" i="1"/>
  <c r="P26" i="1"/>
  <c r="Q26" i="1"/>
  <c r="J26" i="1"/>
  <c r="C25" i="1"/>
  <c r="G12" i="2" l="1"/>
  <c r="C12" i="2" s="1"/>
  <c r="F11" i="1" l="1"/>
  <c r="C11" i="1" s="1"/>
  <c r="F31" i="1"/>
  <c r="F25" i="2" l="1"/>
  <c r="C25" i="2" s="1"/>
  <c r="F11" i="2"/>
  <c r="C11" i="2" s="1"/>
  <c r="F31" i="17" l="1"/>
  <c r="F32" i="3"/>
  <c r="G22" i="5" l="1"/>
  <c r="C22" i="5" s="1"/>
  <c r="F23" i="1" l="1"/>
  <c r="C23" i="1" s="1"/>
  <c r="F34" i="6" l="1"/>
  <c r="F33" i="6"/>
  <c r="G32" i="6"/>
  <c r="F35" i="17"/>
  <c r="F34" i="17"/>
  <c r="G33" i="17"/>
  <c r="F35" i="5"/>
  <c r="F34" i="5"/>
  <c r="G33" i="5"/>
  <c r="F36" i="3"/>
  <c r="F35" i="3"/>
  <c r="G34" i="3"/>
  <c r="F35" i="2"/>
  <c r="F34" i="2"/>
  <c r="G33" i="2"/>
  <c r="F35" i="1" l="1"/>
  <c r="F34" i="1"/>
  <c r="F30" i="6" l="1"/>
  <c r="M35" i="6"/>
  <c r="L35" i="6"/>
  <c r="K35" i="6"/>
  <c r="F31" i="5"/>
  <c r="N35" i="6"/>
  <c r="J35" i="6"/>
  <c r="E31" i="6"/>
  <c r="G29" i="6"/>
  <c r="F24" i="6"/>
  <c r="C24" i="6" s="1"/>
  <c r="F23" i="6"/>
  <c r="C23" i="6" s="1"/>
  <c r="N17" i="6"/>
  <c r="M17" i="6"/>
  <c r="L17" i="6"/>
  <c r="K17" i="6"/>
  <c r="J17" i="6"/>
  <c r="F16" i="6"/>
  <c r="C16" i="6" s="1"/>
  <c r="F15" i="6"/>
  <c r="C15" i="6" s="1"/>
  <c r="E13" i="6"/>
  <c r="C13" i="6" s="1"/>
  <c r="G12" i="6"/>
  <c r="C12" i="6" s="1"/>
  <c r="F11" i="6"/>
  <c r="C11" i="6" s="1"/>
  <c r="C10" i="6"/>
  <c r="E32" i="5"/>
  <c r="G30" i="5"/>
  <c r="F24" i="5"/>
  <c r="E20" i="5" s="1"/>
  <c r="F25" i="17"/>
  <c r="C25" i="17" s="1"/>
  <c r="G23" i="17"/>
  <c r="C23" i="17" s="1"/>
  <c r="G23" i="3"/>
  <c r="C23" i="3" s="1"/>
  <c r="F16" i="5"/>
  <c r="C16" i="5" s="1"/>
  <c r="F15" i="5"/>
  <c r="C15" i="5" s="1"/>
  <c r="G12" i="5"/>
  <c r="C12" i="5" s="1"/>
  <c r="F11" i="5"/>
  <c r="C11" i="5" s="1"/>
  <c r="E13" i="5"/>
  <c r="C13" i="5" s="1"/>
  <c r="G10" i="5"/>
  <c r="C10" i="5" s="1"/>
  <c r="J37" i="5"/>
  <c r="N17" i="5"/>
  <c r="M17" i="5"/>
  <c r="L17" i="5"/>
  <c r="K17" i="5"/>
  <c r="J17" i="5"/>
  <c r="E28" i="6" l="1"/>
  <c r="C28" i="6" s="1"/>
  <c r="C9" i="6"/>
  <c r="E29" i="5"/>
  <c r="C9" i="5"/>
  <c r="C14" i="5"/>
  <c r="C20" i="5"/>
  <c r="C24" i="5"/>
  <c r="C14" i="6"/>
  <c r="C18" i="6" s="1"/>
  <c r="E20" i="6"/>
  <c r="C20" i="6" s="1"/>
  <c r="C26" i="6" s="1"/>
  <c r="C29" i="5"/>
  <c r="C8" i="5" s="1"/>
  <c r="E14" i="5"/>
  <c r="E14" i="6"/>
  <c r="E9" i="6"/>
  <c r="E9" i="5"/>
  <c r="Q36" i="17"/>
  <c r="P36" i="17"/>
  <c r="O36" i="17"/>
  <c r="N36" i="17"/>
  <c r="M36" i="17"/>
  <c r="L36" i="17"/>
  <c r="K36" i="17"/>
  <c r="J36" i="17"/>
  <c r="E32" i="17"/>
  <c r="G30" i="17"/>
  <c r="F24" i="17"/>
  <c r="Q18" i="17"/>
  <c r="Q26" i="17" s="1"/>
  <c r="P18" i="17"/>
  <c r="P26" i="17" s="1"/>
  <c r="O18" i="17"/>
  <c r="O26" i="17" s="1"/>
  <c r="N18" i="17"/>
  <c r="N26" i="17" s="1"/>
  <c r="M18" i="17"/>
  <c r="M26" i="17" s="1"/>
  <c r="L18" i="17"/>
  <c r="L26" i="17" s="1"/>
  <c r="K18" i="17"/>
  <c r="K26" i="17" s="1"/>
  <c r="J18" i="17"/>
  <c r="J26" i="17" s="1"/>
  <c r="F17" i="17"/>
  <c r="C17" i="17" s="1"/>
  <c r="F16" i="17"/>
  <c r="C16" i="17" s="1"/>
  <c r="F15" i="17"/>
  <c r="C15" i="17" s="1"/>
  <c r="E13" i="17"/>
  <c r="C13" i="17" s="1"/>
  <c r="G12" i="17"/>
  <c r="C12" i="17" s="1"/>
  <c r="F11" i="17"/>
  <c r="C11" i="17" s="1"/>
  <c r="G10" i="17"/>
  <c r="C10" i="17" s="1"/>
  <c r="G12" i="3"/>
  <c r="C12" i="3" s="1"/>
  <c r="F11" i="3"/>
  <c r="C11" i="3" s="1"/>
  <c r="E33" i="3"/>
  <c r="E30" i="3" s="1"/>
  <c r="G31" i="3"/>
  <c r="F25" i="3"/>
  <c r="E21" i="3" s="1"/>
  <c r="Q18" i="3"/>
  <c r="P18" i="3"/>
  <c r="O18" i="3"/>
  <c r="N18" i="3"/>
  <c r="M18" i="3"/>
  <c r="L18" i="3"/>
  <c r="K18" i="3"/>
  <c r="J18" i="3"/>
  <c r="F17" i="3"/>
  <c r="C17" i="3" s="1"/>
  <c r="F16" i="3"/>
  <c r="C16" i="3" s="1"/>
  <c r="F15" i="3"/>
  <c r="C15" i="3" s="1"/>
  <c r="E13" i="3"/>
  <c r="C13" i="3" s="1"/>
  <c r="G10" i="3"/>
  <c r="C10" i="3" s="1"/>
  <c r="Q36" i="2"/>
  <c r="P36" i="2"/>
  <c r="O36" i="2"/>
  <c r="N36" i="2"/>
  <c r="M36" i="2"/>
  <c r="L36" i="2"/>
  <c r="K36" i="2"/>
  <c r="J36" i="2"/>
  <c r="E32" i="2"/>
  <c r="E29" i="2" s="1"/>
  <c r="G30" i="2"/>
  <c r="F23" i="2"/>
  <c r="Q18" i="2"/>
  <c r="Q26" i="2" s="1"/>
  <c r="P18" i="2"/>
  <c r="P26" i="2" s="1"/>
  <c r="O18" i="2"/>
  <c r="O26" i="2" s="1"/>
  <c r="N18" i="2"/>
  <c r="N26" i="2" s="1"/>
  <c r="M18" i="2"/>
  <c r="M26" i="2" s="1"/>
  <c r="L18" i="2"/>
  <c r="L26" i="2" s="1"/>
  <c r="K18" i="2"/>
  <c r="K26" i="2" s="1"/>
  <c r="J18" i="2"/>
  <c r="J26" i="2" s="1"/>
  <c r="F17" i="2"/>
  <c r="C17" i="2" s="1"/>
  <c r="F16" i="2"/>
  <c r="C16" i="2" s="1"/>
  <c r="F15" i="2"/>
  <c r="C15" i="2" s="1"/>
  <c r="E13" i="2"/>
  <c r="C13" i="2" s="1"/>
  <c r="G10" i="2"/>
  <c r="C10" i="2" s="1"/>
  <c r="C9" i="2" s="1"/>
  <c r="E21" i="17" l="1"/>
  <c r="C21" i="17" s="1"/>
  <c r="C24" i="17"/>
  <c r="C8" i="6"/>
  <c r="C9" i="3"/>
  <c r="E29" i="17"/>
  <c r="C29" i="17" s="1"/>
  <c r="J19" i="2"/>
  <c r="J27" i="2" s="1"/>
  <c r="D23" i="2"/>
  <c r="K19" i="2"/>
  <c r="K27" i="2" s="1"/>
  <c r="Q19" i="2"/>
  <c r="Q27" i="2" s="1"/>
  <c r="L19" i="2"/>
  <c r="L27" i="2" s="1"/>
  <c r="M19" i="2"/>
  <c r="M27" i="2" s="1"/>
  <c r="N19" i="2"/>
  <c r="N27" i="2" s="1"/>
  <c r="O19" i="2"/>
  <c r="O27" i="2" s="1"/>
  <c r="C30" i="3"/>
  <c r="C14" i="2"/>
  <c r="C19" i="2" s="1"/>
  <c r="P19" i="2"/>
  <c r="P27" i="2" s="1"/>
  <c r="E17" i="5"/>
  <c r="E14" i="17"/>
  <c r="C14" i="17" s="1"/>
  <c r="E17" i="6"/>
  <c r="E8" i="6" s="1"/>
  <c r="E9" i="17"/>
  <c r="C9" i="17" s="1"/>
  <c r="C8" i="17" s="1"/>
  <c r="E14" i="3"/>
  <c r="C14" i="3" s="1"/>
  <c r="C29" i="2"/>
  <c r="E9" i="3"/>
  <c r="E9" i="2"/>
  <c r="E14" i="2"/>
  <c r="C8" i="2" l="1"/>
  <c r="C8" i="3"/>
  <c r="E26" i="5"/>
  <c r="E27" i="5" s="1"/>
  <c r="E18" i="5"/>
  <c r="C18" i="5" s="1"/>
  <c r="C27" i="5" s="1"/>
  <c r="C19" i="3"/>
  <c r="E25" i="6"/>
  <c r="E26" i="6" s="1"/>
  <c r="E18" i="6"/>
  <c r="C25" i="3"/>
  <c r="C21" i="3" s="1"/>
  <c r="D21" i="3"/>
  <c r="E8" i="5"/>
  <c r="C23" i="2"/>
  <c r="D27" i="2"/>
  <c r="E18" i="2"/>
  <c r="E8" i="2" s="1"/>
  <c r="E18" i="17"/>
  <c r="E18" i="3"/>
  <c r="C27" i="2" l="1"/>
  <c r="E26" i="17"/>
  <c r="E27" i="17" s="1"/>
  <c r="C27" i="17" s="1"/>
  <c r="E19" i="17"/>
  <c r="C19" i="17" s="1"/>
  <c r="C28" i="3"/>
  <c r="D28" i="3"/>
  <c r="E8" i="3"/>
  <c r="E19" i="3"/>
  <c r="E27" i="3"/>
  <c r="E28" i="3" s="1"/>
  <c r="E26" i="2"/>
  <c r="E27" i="2" s="1"/>
  <c r="E19" i="2"/>
  <c r="E8" i="17"/>
  <c r="K36" i="1"/>
  <c r="L36" i="1"/>
  <c r="M36" i="1"/>
  <c r="N36" i="1"/>
  <c r="O36" i="1"/>
  <c r="P36" i="1"/>
  <c r="Q36" i="1"/>
  <c r="J36" i="1"/>
  <c r="F33" i="1" l="1"/>
  <c r="E32" i="1"/>
  <c r="F17" i="1"/>
  <c r="C17" i="1" s="1"/>
  <c r="F15" i="1"/>
  <c r="C15" i="1" s="1"/>
  <c r="C14" i="1" s="1"/>
  <c r="E13" i="1"/>
  <c r="C13" i="1" s="1"/>
  <c r="G10" i="1"/>
  <c r="C10" i="1" s="1"/>
  <c r="C9" i="1" s="1"/>
  <c r="G30" i="1"/>
  <c r="K18" i="1"/>
  <c r="K19" i="1" s="1"/>
  <c r="K27" i="1" s="1"/>
  <c r="L18" i="1"/>
  <c r="L19" i="1" s="1"/>
  <c r="L27" i="1" s="1"/>
  <c r="M18" i="1"/>
  <c r="M19" i="1" s="1"/>
  <c r="M27" i="1" s="1"/>
  <c r="N18" i="1"/>
  <c r="N19" i="1" s="1"/>
  <c r="N27" i="1" s="1"/>
  <c r="O18" i="1"/>
  <c r="O19" i="1" s="1"/>
  <c r="O27" i="1" s="1"/>
  <c r="P18" i="1"/>
  <c r="P19" i="1" s="1"/>
  <c r="P27" i="1" s="1"/>
  <c r="Q18" i="1"/>
  <c r="Q19" i="1" s="1"/>
  <c r="Q27" i="1" s="1"/>
  <c r="J18" i="1"/>
  <c r="J19" i="1" s="1"/>
  <c r="J27" i="1" s="1"/>
  <c r="F24" i="1"/>
  <c r="E21" i="1" s="1"/>
  <c r="F16" i="1"/>
  <c r="C16" i="1" s="1"/>
  <c r="C24" i="1" l="1"/>
  <c r="C21" i="1" s="1"/>
  <c r="E29" i="1"/>
  <c r="C29" i="1" s="1"/>
  <c r="E9" i="1"/>
  <c r="E14" i="1"/>
  <c r="E18" i="1" l="1"/>
  <c r="E19" i="1" s="1"/>
  <c r="C19" i="1" s="1"/>
  <c r="C8" i="1" l="1"/>
  <c r="C27" i="1"/>
  <c r="E26" i="1"/>
  <c r="E27" i="1" s="1"/>
  <c r="E8" i="1"/>
</calcChain>
</file>

<file path=xl/sharedStrings.xml><?xml version="1.0" encoding="utf-8"?>
<sst xmlns="http://schemas.openxmlformats.org/spreadsheetml/2006/main" count="909" uniqueCount="228">
  <si>
    <t>Теория и история музыки</t>
  </si>
  <si>
    <t>Сольфеджио</t>
  </si>
  <si>
    <t>Вариативная часть</t>
  </si>
  <si>
    <t>Элементарная теория музыки</t>
  </si>
  <si>
    <t>2.</t>
  </si>
  <si>
    <t>Фортепиано</t>
  </si>
  <si>
    <t>4.</t>
  </si>
  <si>
    <t xml:space="preserve">Специальность </t>
  </si>
  <si>
    <t xml:space="preserve"> «Снежинская детская музыкальная школа им. П.И.Чайковского»</t>
  </si>
  <si>
    <t>Школа работает в режиме шестидневной рабочей недели.</t>
  </si>
  <si>
    <t>Каникулы:</t>
  </si>
  <si>
    <t>Срок обучения 4 года.</t>
  </si>
  <si>
    <t xml:space="preserve"> Музыкальное исполнительство</t>
  </si>
  <si>
    <t>Специальность и чтение с листа</t>
  </si>
  <si>
    <t>Концертмейстерский класс</t>
  </si>
  <si>
    <t>Хоровой класс</t>
  </si>
  <si>
    <t>12,14,16</t>
  </si>
  <si>
    <t>2,4,6...-14</t>
  </si>
  <si>
    <t>Слушание музыки</t>
  </si>
  <si>
    <t>Ансамбль</t>
  </si>
  <si>
    <t>экзамены</t>
  </si>
  <si>
    <t>контрольные уроки, зачёты</t>
  </si>
  <si>
    <t>Оркестровый класс</t>
  </si>
  <si>
    <t>3.</t>
  </si>
  <si>
    <t>5.</t>
  </si>
  <si>
    <t>Хор</t>
  </si>
  <si>
    <t>Основы дирижирования</t>
  </si>
  <si>
    <t>2-13,15</t>
  </si>
  <si>
    <t>1. Дополнительная предпрофессиональная программа (ДПП) в области музыкального искусства</t>
  </si>
  <si>
    <t>3. Дополнительная предпрофессиональная программа (ДПП) в области музыкального искусства</t>
  </si>
  <si>
    <t>3.1. Дополнительная предпрофессиональная программа (ДПП) в области музыкального искусства</t>
  </si>
  <si>
    <t>4. Дополнительная предпрофессиональная программа (ДПП) в области музыкального искусства</t>
  </si>
  <si>
    <t>Примечание к учебному плану</t>
  </si>
  <si>
    <t>«Фортепиано».</t>
  </si>
  <si>
    <t>1.</t>
  </si>
  <si>
    <t>При реализации ОП устанавливаются следующие виды учебных занятий и численность обучающихся: групповые занятия – от 9 человек; мелкогрупповые занятия – от 4 до 8 человек (по ансамблевым учебным предметам – от 2-х человек); индивидуальные занятия.</t>
  </si>
  <si>
    <t xml:space="preserve">При реализации учебного предмета «Хоровой класс» могут одновременно заниматься обучающиеся по другим ОП в области музыкального искусства. Учебный предмет «Хоровой класс» может проводиться следующим образом: хор из обучающихся первых классов; хор из обучающихся 2–4-х классов; хор из обучающихся 5–8-х классов. В зависимости от количества обучающихся возможно перераспределение хоровых групп. </t>
  </si>
  <si>
    <t xml:space="preserve">По учебному предмету «Ансамбль» к занятиям могут привлекаться как обучающиеся по данной ОП, так и по другим ОП в области музыкального искусства. Кроме того, реализация данного учебного предмета может проходить в форме совместного исполнения музыкальных произведений, обучающегося с преподавателем. </t>
  </si>
  <si>
    <t>Реализация учебного предмета «Концертмейстерский класс» предполагает привлечение иллюстраторов (вокалистов, инструменталистов). В качестве иллюстраторов могут выступать обучающиеся ДШИ или, в случае их недостаточности, работники ДШИ. В случае привлечения в качестве иллюстратора работника ДШИ планируются концертмейстерские часы в объеме до 80% времени, отведенного на аудиторные занятия по данному учебному предмету.</t>
  </si>
  <si>
    <t>Объем самостоятельной работы обучающихся в неделю по учебным предметам обязательной и вариативной части в среднем за весь период обучения определяется с учетом минимальных затрат на подготовку домашнего задания, параллельного освоения детьми программ начального и основного общего образования. По учебным предметам обязательной части объем самостоятельной нагрузки обучающихся планируется следующим образом:</t>
  </si>
  <si>
    <t>«Специальность и чтение с листа» – 1-2 классы – по 3 часа в неделю; 3-4 классы – по 4 часа; 5-6 классы – по 5 часов; 7-8 классы – по 6 часов; «Ансамбль» – 1,5 часа в неделю; «Концертмейстерский класс» – 1,5 часа в неделю; «Хоровой класс» – 0,5 часа в неделю; «Сольфеджио» – 1 час в неделю; «Слушание музыки» – 0,5 часа в неделю; «Музыкальная литература (зарубежная, отечественная)» – 1 час в неделю.</t>
  </si>
  <si>
    <t>Музыкальная литература (зарубежная, отечественная)</t>
  </si>
  <si>
    <t>Наименование частей, предметных областей и учебных предметов</t>
  </si>
  <si>
    <t>Структура и объем ПО</t>
  </si>
  <si>
    <t>Обязательная часть</t>
  </si>
  <si>
    <t>ПО.01.</t>
  </si>
  <si>
    <t>Индекс предметных областей, разделов и учебных предметов</t>
  </si>
  <si>
    <t>Групповые заяния</t>
  </si>
  <si>
    <t>Мелкогрупповые занятия</t>
  </si>
  <si>
    <t>Индивидуальные занятия</t>
  </si>
  <si>
    <t>Промежуточная аттестация                                    (по полугодиям)</t>
  </si>
  <si>
    <t>Недельная нагрузка в часах</t>
  </si>
  <si>
    <t>Количество недель аудиторных занятий</t>
  </si>
  <si>
    <t>Распределение по годам обучения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</si>
  <si>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</si>
  <si>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</si>
  <si>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</si>
  <si>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</si>
  <si>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</si>
  <si>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</si>
  <si>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</si>
  <si>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ПО.01.УП.01</t>
  </si>
  <si>
    <t>ПО.01.УП.02</t>
  </si>
  <si>
    <t>ПО.01.УП.03</t>
  </si>
  <si>
    <t>ПО.01.УП.04</t>
  </si>
  <si>
    <t>ПО.02.</t>
  </si>
  <si>
    <t>ПО.02.УП.01</t>
  </si>
  <si>
    <t>ПО.02.УП.02</t>
  </si>
  <si>
    <t>ПО.02.УП.03</t>
  </si>
  <si>
    <t>Аудиторные занятия               (в часах)</t>
  </si>
  <si>
    <t>В.00.</t>
  </si>
  <si>
    <t>В.04.УП.04</t>
  </si>
  <si>
    <t>Всего аудиторная нагрузка с учетом вариативной части:</t>
  </si>
  <si>
    <t>К.03.00.</t>
  </si>
  <si>
    <t>Консультации</t>
  </si>
  <si>
    <t>К.03.01</t>
  </si>
  <si>
    <t>К.03.02</t>
  </si>
  <si>
    <t>К.03.03</t>
  </si>
  <si>
    <t>К.03.04</t>
  </si>
  <si>
    <t>К.03.05</t>
  </si>
  <si>
    <t>А.04.00</t>
  </si>
  <si>
    <t>ПА.04.01.</t>
  </si>
  <si>
    <t>Промежуточная (экзаменационная)</t>
  </si>
  <si>
    <t>Аттестация</t>
  </si>
  <si>
    <t>ИА.04.02.</t>
  </si>
  <si>
    <t>Итоговая аттестация</t>
  </si>
  <si>
    <t>ИА.04.02.01</t>
  </si>
  <si>
    <t>ИА.04.02.02</t>
  </si>
  <si>
    <t>ИА.04.02.03</t>
  </si>
  <si>
    <t>Специальность</t>
  </si>
  <si>
    <t xml:space="preserve">8 класс    </t>
  </si>
  <si>
    <t>Годовая нагрузка в часах</t>
  </si>
  <si>
    <t>Аудиторная нагрузка по консультациям</t>
  </si>
  <si>
    <t>Резерв учебного времени</t>
  </si>
  <si>
    <t>Годовой объем в неделях</t>
  </si>
  <si>
    <t xml:space="preserve">Ансамбль </t>
  </si>
  <si>
    <t xml:space="preserve">Сводный хор </t>
  </si>
  <si>
    <t xml:space="preserve">Концертмейстерский класс </t>
  </si>
  <si>
    <t>Музыкальная литература</t>
  </si>
  <si>
    <t>Дополнительные  общеразвивающие программы (ДОП):</t>
  </si>
  <si>
    <t>Дополнительные предпрофессиональные  программы (ДПП) в области музыкального искусства:</t>
  </si>
  <si>
    <t>Учебные планы бюджетного отделения  представлены  по следующим программам:</t>
  </si>
  <si>
    <t xml:space="preserve"> Срок обучения 5 лет.</t>
  </si>
  <si>
    <r>
      <t xml:space="preserve">2.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«Струнные инструменты».  </t>
    </r>
  </si>
  <si>
    <r>
      <t xml:space="preserve">3.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</si>
  <si>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3.1.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</si>
  <si>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4.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</si>
  <si>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r>
      <t xml:space="preserve">4.1.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</si>
  <si>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r>
      <t xml:space="preserve">5.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пение». </t>
    </r>
  </si>
  <si>
    <r>
      <t xml:space="preserve">1.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«Фортепиано».</t>
    </r>
  </si>
  <si>
    <t>К.03.06</t>
  </si>
  <si>
    <t>Оркестр</t>
  </si>
  <si>
    <t>2. Дополнительная предпрофессиональная программа (ДПП) в области музыкального искусства</t>
  </si>
  <si>
    <t>К.03.07</t>
  </si>
  <si>
    <t>4.1. Дополнительная предпрофессиональная программа (ДПП) в области музыкального искусства</t>
  </si>
  <si>
    <t>5. Дополнительная предпрофессиональная программа (ДПП) в области музыкального искусства</t>
  </si>
  <si>
    <t>2,4,6…-12,15</t>
  </si>
  <si>
    <t>Хоровое пение</t>
  </si>
  <si>
    <t>Групповые занятия</t>
  </si>
  <si>
    <t>Ритмическое сольфеджио</t>
  </si>
  <si>
    <t>Начало учебного года – 1 сентября, продолжительность учебного года – 34 недели, для первоклассников – 33 недели.</t>
  </si>
  <si>
    <r>
      <t>1.   Дополнительная общеразвивающая программа в области музыкального искусства.</t>
    </r>
    <r>
      <rPr>
        <b/>
        <sz val="20"/>
        <color theme="1"/>
        <rFont val="Times New Roman"/>
        <family val="1"/>
        <charset val="204"/>
      </rPr>
      <t xml:space="preserve"> "Инструментальное испольнительство".</t>
    </r>
    <r>
      <rPr>
        <sz val="20"/>
        <color theme="1"/>
        <rFont val="Times New Roman"/>
        <family val="1"/>
        <charset val="204"/>
      </rPr>
      <t xml:space="preserve"> </t>
    </r>
  </si>
  <si>
    <r>
      <t xml:space="preserve">2.   Дополнительная общеразвивающая программа в области музыкального искусства. </t>
    </r>
    <r>
      <rPr>
        <b/>
        <sz val="20"/>
        <color theme="1"/>
        <rFont val="Times New Roman"/>
        <family val="1"/>
        <charset val="204"/>
      </rPr>
      <t>"Сольное пение".</t>
    </r>
  </si>
  <si>
    <t>1,3,5…-15</t>
  </si>
  <si>
    <t>2,4..-10,14,15</t>
  </si>
  <si>
    <t>9-13,15</t>
  </si>
  <si>
    <t>8,10,12,14,16</t>
  </si>
  <si>
    <t>6,8,10,12</t>
  </si>
  <si>
    <t>10-16</t>
  </si>
  <si>
    <t>2,4,6</t>
  </si>
  <si>
    <t>8-16</t>
  </si>
  <si>
    <t>9,11,13,15</t>
  </si>
  <si>
    <t>1,3,5,7</t>
  </si>
  <si>
    <t>2,4,6,8</t>
  </si>
  <si>
    <t>4,6,8</t>
  </si>
  <si>
    <t>4,6,8,10</t>
  </si>
  <si>
    <t>2,4,8,9</t>
  </si>
  <si>
    <t>Срок обучения – 8 лет</t>
  </si>
  <si>
    <t>Срок обучения – 5 лет</t>
  </si>
  <si>
    <t>Срок обучения 8 лет.</t>
  </si>
  <si>
    <t xml:space="preserve">   «Народные инструменты». Срок обучения 5 лет.</t>
  </si>
  <si>
    <t xml:space="preserve">   «Народные инструменты». Срок обучения 8 лет.</t>
  </si>
  <si>
    <t xml:space="preserve">   «Духовые и ударные инструменты». Срок обучения 5 лет.</t>
  </si>
  <si>
    <t xml:space="preserve">   «Духовые и ударные инструменты». Срок обучения 8 лет.</t>
  </si>
  <si>
    <t xml:space="preserve">   «Струнные инструменты». Срок обучения 8 лет.</t>
  </si>
  <si>
    <t xml:space="preserve">   «Фортепиано». Срок обучения 8 лет.</t>
  </si>
  <si>
    <t xml:space="preserve">   «Хоровое пение». Срок обучения 8 лет</t>
  </si>
  <si>
    <t>14</t>
  </si>
  <si>
    <t xml:space="preserve">  Аудиторная нагрузка по консультациям</t>
  </si>
  <si>
    <t xml:space="preserve">  Всего аудиторная нагрузка с учетом вариативной части:</t>
  </si>
  <si>
    <t xml:space="preserve"> Всего количество контрольных уроков, зачетов, экзаменов </t>
  </si>
  <si>
    <t xml:space="preserve">  Всего количество контрольных уроков, зачетов, экзаменов </t>
  </si>
  <si>
    <t>14-16</t>
  </si>
  <si>
    <t>2-11,13-15</t>
  </si>
  <si>
    <t>В.ОО.</t>
  </si>
  <si>
    <t>В.01.УП.01</t>
  </si>
  <si>
    <t>В.02.УП.02</t>
  </si>
  <si>
    <t>В.03.УП.03</t>
  </si>
  <si>
    <t>Максимальная учебная нагрузка</t>
  </si>
  <si>
    <t>Самостоятельная работа</t>
  </si>
  <si>
    <t>Трудоемкость в часах</t>
  </si>
  <si>
    <t>Трудоемкость    в часах</t>
  </si>
  <si>
    <t>Зачёты, контрольные уроки</t>
  </si>
  <si>
    <t xml:space="preserve"> - </t>
  </si>
  <si>
    <t>Всего максимальная нагрузка с учетом вариативной части</t>
  </si>
  <si>
    <t>Всего максимальная нагрузка с учетом вариативной части:</t>
  </si>
  <si>
    <t>Максимальная нагрузка по двум предметным областям:</t>
  </si>
  <si>
    <t xml:space="preserve"> Аудиторная нагрузка по двум предметным областям</t>
  </si>
  <si>
    <t xml:space="preserve"> Количество контрольных уроков, зачетов, экзаменов по двум предметным областям</t>
  </si>
  <si>
    <t>Всего количество контрольных уроков, зачетов, экзаменов</t>
  </si>
  <si>
    <t>Максимальная нагрузка по двум предметным областям</t>
  </si>
  <si>
    <t>Аудиторная нагрузка по двум предметным областям</t>
  </si>
  <si>
    <t>Количество контрольных уроков, зачетов, экзаменов по двум предметным областям</t>
  </si>
  <si>
    <t xml:space="preserve">Всего количество контрольных уроков, зачетов, экзаменов </t>
  </si>
  <si>
    <t>1934,5-2083</t>
  </si>
  <si>
    <t>−</t>
  </si>
  <si>
    <t xml:space="preserve">  Всего максимальная нагрузка с учетом вариативной части:</t>
  </si>
  <si>
    <t xml:space="preserve">  Всего количество контрольных уроков, зачетов, экзаменов:</t>
  </si>
  <si>
    <t>1303,5-1353</t>
  </si>
  <si>
    <t>3553-3915</t>
  </si>
  <si>
    <t>1778-1876,5</t>
  </si>
  <si>
    <t>1775,5-2039</t>
  </si>
  <si>
    <t>1303,5-1370</t>
  </si>
  <si>
    <t>Максимльная нагрузка по двум предметным областям</t>
  </si>
  <si>
    <t>2,4..-10, 14, 15</t>
  </si>
  <si>
    <t>14,15,16</t>
  </si>
  <si>
    <t>1775-2385</t>
  </si>
  <si>
    <t>3553-4327,5</t>
  </si>
  <si>
    <t>1778-1942,5</t>
  </si>
  <si>
    <t>В.05.УП.05</t>
  </si>
  <si>
    <t>1187,5-1666</t>
  </si>
  <si>
    <t>2491-3019</t>
  </si>
  <si>
    <t>1187,5-1336</t>
  </si>
  <si>
    <t>1976-1992,5</t>
  </si>
  <si>
    <t>2091-2140,5</t>
  </si>
  <si>
    <t>4025,5-4223,5</t>
  </si>
  <si>
    <t>2491-2689</t>
  </si>
  <si>
    <t xml:space="preserve">   «Фортепиано». Срок обучения 8 лет. Дополнительный год обучения 9 класс.</t>
  </si>
  <si>
    <t>Распределение по учебным полугодиям</t>
  </si>
  <si>
    <t>1 полугодие</t>
  </si>
  <si>
    <t>2 полугодие</t>
  </si>
  <si>
    <t>Теория музыки</t>
  </si>
  <si>
    <t>Сводный хор</t>
  </si>
  <si>
    <t>686-752</t>
  </si>
  <si>
    <t>363-379,5</t>
  </si>
  <si>
    <t>323-372,5</t>
  </si>
  <si>
    <t>ИА.04.01.</t>
  </si>
  <si>
    <t>ИА.04.01.01</t>
  </si>
  <si>
    <t>ИА.04.01.02</t>
  </si>
  <si>
    <t>ИА.04.01.03</t>
  </si>
  <si>
    <t xml:space="preserve">   «Народные инструменты». Срок обучения 5 лет. Дополнительный год обучения 6 класс.</t>
  </si>
  <si>
    <t>318,5-368</t>
  </si>
  <si>
    <t>297-313,5</t>
  </si>
  <si>
    <t>615,5-681,5</t>
  </si>
  <si>
    <t>·        осенние с 31.10.2022 по 06.11.2022</t>
  </si>
  <si>
    <t>УЧЕБНЫЕ ПЛАНЫ  на 2022-2023 учебный год</t>
  </si>
  <si>
    <t xml:space="preserve">Муниципальное бюджетное  учреждение дополнительного образования </t>
  </si>
  <si>
    <t>·        зимние с 28.12.2022 по 10.01.2023</t>
  </si>
  <si>
    <t>·        летние с 28.05.2023 по 31.08.2023</t>
  </si>
  <si>
    <t>·        весенние с 27.03.2023 по 02.04.2023</t>
  </si>
  <si>
    <t xml:space="preserve">         дополнительные (для учащихся 1 класс ДПП-8) с 13.02.2023 по 19.02.2023</t>
  </si>
  <si>
    <t>1903-2364,5</t>
  </si>
  <si>
    <t>4257,5-4883,5</t>
  </si>
  <si>
    <t>2354,5-2519</t>
  </si>
  <si>
    <t>7 класс                I полугодие</t>
  </si>
  <si>
    <t>7 класс             II полугодие</t>
  </si>
  <si>
    <t>4035-4158,5</t>
  </si>
  <si>
    <t>2059-2166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</si>
</sst>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17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 vertical="top" wrapText="1"/>
    </xf>
    <xf numFmtId="0" fontId="18" fillId="0" borderId="0" xfId="0" applyFont="1"/>
    <xf numFmtId="164" fontId="3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64" fontId="18" fillId="0" borderId="5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20" fillId="0" borderId="0" xfId="0" applyFont="1"/>
    <xf numFmtId="164" fontId="5" fillId="0" borderId="2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" fontId="25" fillId="0" borderId="53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 wrapText="1"/>
    </xf>
    <xf numFmtId="164" fontId="24" fillId="0" borderId="5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top" wrapText="1"/>
    </xf>
    <xf numFmtId="1" fontId="6" fillId="0" borderId="3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top" wrapText="1"/>
    </xf>
    <xf numFmtId="0" fontId="19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8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1" fontId="28" fillId="0" borderId="0" xfId="0" applyNumberFormat="1" applyFont="1"/>
    <xf numFmtId="1" fontId="18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1" fontId="6" fillId="0" borderId="5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56" xfId="0" applyNumberFormat="1" applyFont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164" fontId="18" fillId="0" borderId="59" xfId="0" applyNumberFormat="1" applyFont="1" applyBorder="1" applyAlignment="1">
      <alignment horizontal="center" vertical="center" wrapText="1"/>
    </xf>
    <xf numFmtId="164" fontId="18" fillId="0" borderId="58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64" fontId="5" fillId="0" borderId="6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64" fontId="24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29" fillId="0" borderId="1" xfId="0" applyNumberFormat="1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64" fontId="18" fillId="0" borderId="6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8" fillId="0" borderId="16" xfId="0" applyNumberFormat="1" applyFont="1" applyBorder="1" applyAlignment="1">
      <alignment horizontal="center" vertical="top" wrapText="1"/>
    </xf>
    <xf numFmtId="1" fontId="18" fillId="0" borderId="62" xfId="0" applyNumberFormat="1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1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4" fontId="18" fillId="0" borderId="7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1" fontId="6" fillId="0" borderId="32" xfId="0" applyNumberFormat="1" applyFont="1" applyBorder="1" applyAlignment="1">
      <alignment horizontal="left" vertical="center" wrapText="1"/>
    </xf>
    <xf numFmtId="1" fontId="6" fillId="0" borderId="33" xfId="0" applyNumberFormat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64" fontId="6" fillId="0" borderId="32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164" fontId="18" fillId="0" borderId="8" xfId="0" applyNumberFormat="1" applyFont="1" applyBorder="1" applyAlignment="1">
      <alignment horizontal="center" vertical="top" wrapText="1"/>
    </xf>
    <xf numFmtId="164" fontId="18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1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164" fontId="24" fillId="0" borderId="51" xfId="0" applyNumberFormat="1" applyFont="1" applyBorder="1" applyAlignment="1">
      <alignment horizontal="center" vertical="top" wrapText="1"/>
    </xf>
    <xf numFmtId="164" fontId="24" fillId="0" borderId="34" xfId="0" applyNumberFormat="1" applyFont="1" applyBorder="1" applyAlignment="1">
      <alignment horizontal="center" vertical="top" wrapText="1"/>
    </xf>
    <xf numFmtId="164" fontId="24" fillId="0" borderId="50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164" fontId="18" fillId="0" borderId="4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4" fontId="24" fillId="0" borderId="54" xfId="0" applyNumberFormat="1" applyFont="1" applyBorder="1" applyAlignment="1">
      <alignment horizontal="center" vertical="top" wrapText="1"/>
    </xf>
    <xf numFmtId="164" fontId="24" fillId="0" borderId="8" xfId="0" applyNumberFormat="1" applyFont="1" applyBorder="1" applyAlignment="1">
      <alignment horizontal="center" vertical="top" wrapText="1"/>
    </xf>
    <xf numFmtId="164" fontId="24" fillId="0" borderId="49" xfId="0" applyNumberFormat="1" applyFont="1" applyBorder="1" applyAlignment="1">
      <alignment horizontal="center" vertical="top" wrapText="1"/>
    </xf>
    <xf numFmtId="0" fontId="23" fillId="0" borderId="32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164" fontId="24" fillId="0" borderId="7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49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23" fillId="0" borderId="5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1" fontId="23" fillId="0" borderId="64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164" fontId="24" fillId="0" borderId="64" xfId="0" applyNumberFormat="1" applyFont="1" applyBorder="1" applyAlignment="1">
      <alignment horizontal="center" vertical="center" wrapText="1"/>
    </xf>
    <xf numFmtId="164" fontId="24" fillId="0" borderId="6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2"/>
  <sheetViews>
    <sheetView view="pageBreakPreview" topLeftCell="A31" zoomScale="52" zoomScaleNormal="100" zoomScaleSheetLayoutView="52" workbookViewId="0">
      <selection activeCell="S11" sqref="S11"/>
    </sheetView>
  </sheetViews>
  <sheetFormatPr defaultColWidth="8.88671875" defaultRowHeight="15.6" x14ac:dyDescent="0.3"/>
  <cols>
    <col min="1" max="16384" width="8.88671875" style="8"/>
  </cols>
  <sheetData>
    <row r="1" spans="1:23" s="12" customFormat="1" ht="32.4" customHeight="1" x14ac:dyDescent="0.55000000000000004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s="13" customFormat="1" ht="30.6" x14ac:dyDescent="0.55000000000000004">
      <c r="A2" s="323" t="s">
        <v>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</row>
    <row r="4" spans="1:23" s="10" customFormat="1" ht="25.2" x14ac:dyDescent="0.45">
      <c r="A4" s="324" t="s">
        <v>215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</row>
    <row r="6" spans="1:23" s="14" customFormat="1" ht="25.2" x14ac:dyDescent="0.3">
      <c r="A6" s="325" t="s">
        <v>120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</row>
    <row r="7" spans="1:23" s="10" customFormat="1" ht="25.2" x14ac:dyDescent="0.45">
      <c r="A7" s="326" t="s">
        <v>9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9" spans="1:23" s="10" customFormat="1" ht="25.2" x14ac:dyDescent="0.45">
      <c r="A9" s="11" t="s">
        <v>10</v>
      </c>
    </row>
    <row r="10" spans="1:23" s="10" customFormat="1" ht="30" customHeight="1" x14ac:dyDescent="0.45">
      <c r="A10" s="10" t="s">
        <v>214</v>
      </c>
    </row>
    <row r="11" spans="1:23" s="10" customFormat="1" ht="30" customHeight="1" x14ac:dyDescent="0.45">
      <c r="A11" s="10" t="s">
        <v>217</v>
      </c>
    </row>
    <row r="12" spans="1:23" s="10" customFormat="1" ht="30" customHeight="1" x14ac:dyDescent="0.45">
      <c r="A12" s="321" t="s">
        <v>220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</row>
    <row r="13" spans="1:23" s="10" customFormat="1" ht="30" customHeight="1" x14ac:dyDescent="0.45">
      <c r="A13" s="10" t="s">
        <v>219</v>
      </c>
    </row>
    <row r="14" spans="1:23" s="10" customFormat="1" ht="30" customHeight="1" x14ac:dyDescent="0.45">
      <c r="A14" s="10" t="s">
        <v>218</v>
      </c>
    </row>
    <row r="15" spans="1:23" s="10" customFormat="1" ht="25.2" x14ac:dyDescent="0.45"/>
    <row r="16" spans="1:23" s="10" customFormat="1" ht="42" customHeight="1" x14ac:dyDescent="0.45">
      <c r="A16" s="108" t="s">
        <v>101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24" s="15" customFormat="1" ht="30" x14ac:dyDescent="0.5">
      <c r="A17" s="15" t="s">
        <v>99</v>
      </c>
    </row>
    <row r="18" spans="1:24" s="9" customFormat="1" ht="28.2" customHeight="1" x14ac:dyDescent="0.45">
      <c r="A18" s="327" t="s">
        <v>121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</row>
    <row r="19" spans="1:24" s="9" customFormat="1" ht="28.2" customHeight="1" x14ac:dyDescent="0.45">
      <c r="A19" s="328" t="s">
        <v>11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</row>
    <row r="20" spans="1:24" s="9" customFormat="1" ht="28.2" customHeight="1" x14ac:dyDescent="0.45">
      <c r="A20" s="327" t="s">
        <v>122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</row>
    <row r="21" spans="1:24" s="9" customFormat="1" ht="28.2" customHeight="1" x14ac:dyDescent="0.45">
      <c r="A21" s="328" t="s">
        <v>102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</row>
    <row r="22" spans="1:24" s="9" customFormat="1" ht="28.2" customHeight="1" x14ac:dyDescent="0.4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1:24" s="9" customFormat="1" ht="28.2" customHeight="1" x14ac:dyDescent="0.4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spans="1:24" s="9" customFormat="1" ht="28.2" customHeight="1" x14ac:dyDescent="0.45">
      <c r="A24" s="329" t="s">
        <v>100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</row>
    <row r="25" spans="1:24" s="9" customFormat="1" ht="28.2" customHeight="1" x14ac:dyDescent="0.45">
      <c r="A25" s="327" t="s">
        <v>109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</row>
    <row r="26" spans="1:24" s="9" customFormat="1" ht="28.2" customHeight="1" x14ac:dyDescent="0.45">
      <c r="A26" s="328" t="s">
        <v>137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</row>
    <row r="27" spans="1:24" s="9" customFormat="1" ht="28.2" customHeight="1" x14ac:dyDescent="0.45">
      <c r="A27" s="327" t="s">
        <v>103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</row>
    <row r="28" spans="1:24" ht="24.6" x14ac:dyDescent="0.3">
      <c r="A28" s="328" t="s">
        <v>137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</row>
    <row r="29" spans="1:24" ht="25.2" x14ac:dyDescent="0.3">
      <c r="A29" s="327" t="s">
        <v>104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</row>
    <row r="30" spans="1:24" ht="24.6" x14ac:dyDescent="0.3">
      <c r="A30" s="328" t="s">
        <v>137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</row>
    <row r="31" spans="1:24" ht="25.2" x14ac:dyDescent="0.3">
      <c r="A31" s="327" t="s">
        <v>105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</row>
    <row r="32" spans="1:24" ht="24.6" x14ac:dyDescent="0.3">
      <c r="A32" s="328" t="s">
        <v>138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</row>
    <row r="33" spans="1:24" ht="25.2" x14ac:dyDescent="0.3">
      <c r="A33" s="327" t="s">
        <v>106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</row>
    <row r="34" spans="1:24" ht="24.6" x14ac:dyDescent="0.3">
      <c r="A34" s="328" t="s">
        <v>137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</row>
    <row r="35" spans="1:24" ht="25.2" x14ac:dyDescent="0.3">
      <c r="A35" s="327" t="s">
        <v>107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</row>
    <row r="36" spans="1:24" ht="24.6" x14ac:dyDescent="0.3">
      <c r="A36" s="328" t="s">
        <v>138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</row>
    <row r="37" spans="1:24" ht="25.2" x14ac:dyDescent="0.3">
      <c r="A37" s="327" t="s">
        <v>108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</row>
    <row r="38" spans="1:24" ht="24.6" x14ac:dyDescent="0.3">
      <c r="A38" s="328" t="s">
        <v>137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</row>
    <row r="39" spans="1:24" ht="25.2" x14ac:dyDescent="0.45">
      <c r="X39" s="9"/>
    </row>
    <row r="40" spans="1:24" ht="25.2" x14ac:dyDescent="0.45">
      <c r="X40" s="9"/>
    </row>
    <row r="41" spans="1:24" ht="25.2" x14ac:dyDescent="0.45">
      <c r="X41" s="9"/>
    </row>
    <row r="42" spans="1:24" ht="25.2" x14ac:dyDescent="0.45">
      <c r="X42" s="9"/>
    </row>
  </sheetData>
  <mergeCells count="25">
    <mergeCell ref="A31:X31"/>
    <mergeCell ref="A32:X32"/>
    <mergeCell ref="A33:X33"/>
    <mergeCell ref="A37:X37"/>
    <mergeCell ref="A38:X38"/>
    <mergeCell ref="A34:X34"/>
    <mergeCell ref="A35:X35"/>
    <mergeCell ref="A36:X36"/>
    <mergeCell ref="A26:X26"/>
    <mergeCell ref="A27:X27"/>
    <mergeCell ref="A28:X28"/>
    <mergeCell ref="A29:X29"/>
    <mergeCell ref="A30:X30"/>
    <mergeCell ref="A20:W20"/>
    <mergeCell ref="A18:W18"/>
    <mergeCell ref="A21:R21"/>
    <mergeCell ref="A24:X24"/>
    <mergeCell ref="A25:X25"/>
    <mergeCell ref="A19:R19"/>
    <mergeCell ref="A12:N12"/>
    <mergeCell ref="A1:W1"/>
    <mergeCell ref="A2:W2"/>
    <mergeCell ref="A4:W4"/>
    <mergeCell ref="A6:W6"/>
    <mergeCell ref="A7:O7"/>
  </mergeCells>
  <pageMargins left="0.31496062992125984" right="0.31496062992125984" top="0.15748031496062992" bottom="0.15748031496062992" header="0.11811023622047245" footer="0.11811023622047245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0F8E-0669-4466-AFF9-A03EA031451F}">
  <sheetPr>
    <pageSetUpPr fitToPage="1"/>
  </sheetPr>
  <dimension ref="A1:K41"/>
  <sheetViews>
    <sheetView view="pageBreakPreview" topLeftCell="A15" zoomScale="60" zoomScaleNormal="100" workbookViewId="0">
      <selection activeCell="O22" sqref="O22"/>
    </sheetView>
  </sheetViews>
  <sheetFormatPr defaultRowHeight="14.4" x14ac:dyDescent="0.3"/>
  <cols>
    <col min="1" max="1" width="19.5546875" customWidth="1"/>
    <col min="2" max="2" width="60.5546875" customWidth="1"/>
    <col min="3" max="4" width="10.33203125" customWidth="1"/>
    <col min="5" max="5" width="8" customWidth="1"/>
    <col min="7" max="7" width="8.33203125" customWidth="1"/>
    <col min="8" max="8" width="10.109375" customWidth="1"/>
    <col min="9" max="9" width="8.6640625" customWidth="1"/>
    <col min="10" max="10" width="11.44140625" customWidth="1"/>
    <col min="11" max="11" width="12.109375" customWidth="1"/>
  </cols>
  <sheetData>
    <row r="1" spans="1:11" s="29" customFormat="1" ht="27" customHeight="1" x14ac:dyDescent="0.4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7.6" customHeight="1" thickBot="1" x14ac:dyDescent="0.35">
      <c r="A2" s="369" t="s">
        <v>210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64.2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198</v>
      </c>
      <c r="K3" s="408"/>
    </row>
    <row r="4" spans="1:11" ht="88.95" customHeight="1" thickBot="1" x14ac:dyDescent="0.35">
      <c r="A4" s="372"/>
      <c r="B4" s="374"/>
      <c r="C4" s="188" t="s">
        <v>161</v>
      </c>
      <c r="D4" s="188" t="s">
        <v>161</v>
      </c>
      <c r="E4" s="42" t="s">
        <v>118</v>
      </c>
      <c r="F4" s="43" t="s">
        <v>48</v>
      </c>
      <c r="G4" s="42" t="s">
        <v>49</v>
      </c>
      <c r="H4" s="42" t="s">
        <v>162</v>
      </c>
      <c r="I4" s="43" t="s">
        <v>20</v>
      </c>
      <c r="J4" s="42" t="s">
        <v>199</v>
      </c>
      <c r="K4" s="42" t="s">
        <v>200</v>
      </c>
    </row>
    <row r="5" spans="1:11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</row>
    <row r="6" spans="1:11" ht="32.4" customHeight="1" thickBot="1" x14ac:dyDescent="0.35">
      <c r="A6" s="384"/>
      <c r="B6" s="382" t="s">
        <v>43</v>
      </c>
      <c r="C6" s="382" t="s">
        <v>213</v>
      </c>
      <c r="D6" s="382" t="s">
        <v>212</v>
      </c>
      <c r="E6" s="386" t="s">
        <v>211</v>
      </c>
      <c r="F6" s="387"/>
      <c r="G6" s="388"/>
      <c r="H6" s="392"/>
      <c r="I6" s="392"/>
      <c r="J6" s="380" t="s">
        <v>52</v>
      </c>
      <c r="K6" s="406"/>
    </row>
    <row r="7" spans="1:11" ht="19.2" customHeight="1" thickBot="1" x14ac:dyDescent="0.35">
      <c r="A7" s="385"/>
      <c r="B7" s="383"/>
      <c r="C7" s="383"/>
      <c r="D7" s="383"/>
      <c r="E7" s="389"/>
      <c r="F7" s="390"/>
      <c r="G7" s="391"/>
      <c r="H7" s="393"/>
      <c r="I7" s="393"/>
      <c r="J7" s="44">
        <v>16</v>
      </c>
      <c r="K7" s="44">
        <v>17</v>
      </c>
    </row>
    <row r="8" spans="1:11" ht="37.200000000000003" customHeight="1" thickBot="1" x14ac:dyDescent="0.35">
      <c r="A8" s="3"/>
      <c r="B8" s="299" t="s">
        <v>44</v>
      </c>
      <c r="C8" s="139">
        <f>C17+C24</f>
        <v>615.5</v>
      </c>
      <c r="D8" s="295">
        <f>D9+D12</f>
        <v>297</v>
      </c>
      <c r="E8" s="342">
        <f>E16+E24</f>
        <v>318.5</v>
      </c>
      <c r="F8" s="345"/>
      <c r="G8" s="346"/>
      <c r="H8" s="176"/>
      <c r="I8" s="177"/>
      <c r="J8" s="330" t="s">
        <v>51</v>
      </c>
      <c r="K8" s="407"/>
    </row>
    <row r="9" spans="1:11" ht="30" customHeight="1" thickBot="1" x14ac:dyDescent="0.35">
      <c r="A9" s="113" t="s">
        <v>45</v>
      </c>
      <c r="B9" s="113" t="s">
        <v>12</v>
      </c>
      <c r="C9" s="293">
        <f>C10+C11</f>
        <v>346.5</v>
      </c>
      <c r="D9" s="301">
        <f>D10+D11</f>
        <v>198</v>
      </c>
      <c r="E9" s="342">
        <f>F11+G10</f>
        <v>148.5</v>
      </c>
      <c r="F9" s="345"/>
      <c r="G9" s="346"/>
      <c r="H9" s="178"/>
      <c r="I9" s="178"/>
      <c r="J9" s="1"/>
      <c r="K9" s="1"/>
    </row>
    <row r="10" spans="1:11" s="7" customFormat="1" ht="30" customHeight="1" thickBot="1" x14ac:dyDescent="0.4">
      <c r="A10" s="6" t="s">
        <v>61</v>
      </c>
      <c r="B10" s="25" t="s">
        <v>7</v>
      </c>
      <c r="C10" s="192">
        <f>D10+E10+F10+G10</f>
        <v>214.5</v>
      </c>
      <c r="D10" s="190">
        <f>4*J7+4*K7</f>
        <v>132</v>
      </c>
      <c r="E10" s="234"/>
      <c r="F10" s="234"/>
      <c r="G10" s="193">
        <f>J10*J7+K10*K7</f>
        <v>82.5</v>
      </c>
      <c r="H10" s="179">
        <v>17</v>
      </c>
      <c r="I10" s="179"/>
      <c r="J10" s="26">
        <v>2.5</v>
      </c>
      <c r="K10" s="26">
        <v>2.5</v>
      </c>
    </row>
    <row r="11" spans="1:11" s="7" customFormat="1" ht="30" customHeight="1" thickBot="1" x14ac:dyDescent="0.4">
      <c r="A11" s="6" t="s">
        <v>62</v>
      </c>
      <c r="B11" s="25" t="s">
        <v>19</v>
      </c>
      <c r="C11" s="192">
        <f t="shared" ref="C11" si="0">D11+E11+F11+G11</f>
        <v>132</v>
      </c>
      <c r="D11" s="191">
        <f>2*J7+2*K7</f>
        <v>66</v>
      </c>
      <c r="E11" s="234"/>
      <c r="F11" s="234">
        <f>J11*J7+K11*K7</f>
        <v>66</v>
      </c>
      <c r="G11" s="193"/>
      <c r="H11" s="179">
        <v>18</v>
      </c>
      <c r="I11" s="180"/>
      <c r="J11" s="26">
        <v>2</v>
      </c>
      <c r="K11" s="26">
        <v>2</v>
      </c>
    </row>
    <row r="12" spans="1:11" ht="30" customHeight="1" thickBot="1" x14ac:dyDescent="0.35">
      <c r="A12" s="113" t="s">
        <v>65</v>
      </c>
      <c r="B12" s="113" t="s">
        <v>0</v>
      </c>
      <c r="C12" s="292">
        <f>C13+C14+C15</f>
        <v>231</v>
      </c>
      <c r="D12" s="290">
        <f>D13+D14+D15</f>
        <v>99</v>
      </c>
      <c r="E12" s="339">
        <f>F13+F14+F15</f>
        <v>132</v>
      </c>
      <c r="F12" s="340"/>
      <c r="G12" s="341"/>
      <c r="H12" s="178"/>
      <c r="I12" s="178"/>
      <c r="J12" s="1"/>
      <c r="K12" s="1"/>
    </row>
    <row r="13" spans="1:11" s="7" customFormat="1" ht="30" customHeight="1" thickBot="1" x14ac:dyDescent="0.4">
      <c r="A13" s="6" t="s">
        <v>66</v>
      </c>
      <c r="B13" s="112" t="s">
        <v>1</v>
      </c>
      <c r="C13" s="193">
        <f>D13+E13+F13+G13</f>
        <v>82.5</v>
      </c>
      <c r="D13" s="302">
        <f>1*J7+1*K7</f>
        <v>33</v>
      </c>
      <c r="E13" s="193"/>
      <c r="F13" s="193">
        <f>J13*J7+K13*K7</f>
        <v>49.5</v>
      </c>
      <c r="G13" s="193"/>
      <c r="H13" s="179">
        <v>17</v>
      </c>
      <c r="I13" s="181"/>
      <c r="J13" s="26">
        <v>1.5</v>
      </c>
      <c r="K13" s="26">
        <v>1.5</v>
      </c>
    </row>
    <row r="14" spans="1:11" s="7" customFormat="1" ht="30" customHeight="1" thickBot="1" x14ac:dyDescent="0.4">
      <c r="A14" s="6" t="s">
        <v>67</v>
      </c>
      <c r="B14" s="112" t="s">
        <v>41</v>
      </c>
      <c r="C14" s="193">
        <f t="shared" ref="C14:C15" si="1">D14+E14+F14+G14</f>
        <v>82.5</v>
      </c>
      <c r="D14" s="302">
        <f>1*J7+1*K7</f>
        <v>33</v>
      </c>
      <c r="E14" s="193"/>
      <c r="F14" s="193">
        <f>J14*J7+K14*K7</f>
        <v>49.5</v>
      </c>
      <c r="G14" s="193"/>
      <c r="H14" s="181">
        <v>17</v>
      </c>
      <c r="I14" s="181"/>
      <c r="J14" s="26">
        <v>1.5</v>
      </c>
      <c r="K14" s="26">
        <v>1.5</v>
      </c>
    </row>
    <row r="15" spans="1:11" s="7" customFormat="1" ht="30" customHeight="1" thickBot="1" x14ac:dyDescent="0.4">
      <c r="A15" s="6" t="s">
        <v>68</v>
      </c>
      <c r="B15" s="41" t="s">
        <v>201</v>
      </c>
      <c r="C15" s="193">
        <f t="shared" si="1"/>
        <v>66</v>
      </c>
      <c r="D15" s="302">
        <f>1*33</f>
        <v>33</v>
      </c>
      <c r="E15" s="193"/>
      <c r="F15" s="193">
        <f>J15*J7+K15*K7</f>
        <v>33</v>
      </c>
      <c r="G15" s="193"/>
      <c r="H15" s="304">
        <v>17.18</v>
      </c>
      <c r="I15" s="181"/>
      <c r="J15" s="26">
        <v>1</v>
      </c>
      <c r="K15" s="26">
        <v>1</v>
      </c>
    </row>
    <row r="16" spans="1:11" s="7" customFormat="1" ht="30" customHeight="1" thickBot="1" x14ac:dyDescent="0.4">
      <c r="A16" s="337" t="s">
        <v>167</v>
      </c>
      <c r="B16" s="338"/>
      <c r="C16" s="139"/>
      <c r="D16" s="294"/>
      <c r="E16" s="342">
        <f>E12+E9</f>
        <v>280.5</v>
      </c>
      <c r="F16" s="343"/>
      <c r="G16" s="344"/>
      <c r="H16" s="179"/>
      <c r="I16" s="181"/>
      <c r="J16" s="50">
        <f>SUM(J10:J15)</f>
        <v>8.5</v>
      </c>
      <c r="K16" s="50">
        <f>SUM(K10:K15)</f>
        <v>8.5</v>
      </c>
    </row>
    <row r="17" spans="1:11" s="202" customFormat="1" ht="30" customHeight="1" thickBot="1" x14ac:dyDescent="0.35">
      <c r="A17" s="396" t="s">
        <v>166</v>
      </c>
      <c r="B17" s="397"/>
      <c r="C17" s="298">
        <f>E17+D17</f>
        <v>577.5</v>
      </c>
      <c r="D17" s="3">
        <f>D12+D9</f>
        <v>297</v>
      </c>
      <c r="E17" s="398">
        <f>E16</f>
        <v>280.5</v>
      </c>
      <c r="F17" s="399"/>
      <c r="G17" s="400"/>
      <c r="H17" s="39"/>
      <c r="I17" s="305"/>
      <c r="J17" s="201">
        <f>J16+10.5</f>
        <v>19</v>
      </c>
      <c r="K17" s="201">
        <f>K16+10.5</f>
        <v>19</v>
      </c>
    </row>
    <row r="18" spans="1:11" s="204" customFormat="1" ht="30" customHeight="1" thickBot="1" x14ac:dyDescent="0.35">
      <c r="A18" s="352" t="s">
        <v>168</v>
      </c>
      <c r="B18" s="353"/>
      <c r="C18" s="401"/>
      <c r="D18" s="402"/>
      <c r="E18" s="356"/>
      <c r="F18" s="357"/>
      <c r="G18" s="358"/>
      <c r="H18" s="132">
        <v>6</v>
      </c>
      <c r="I18" s="98" t="s">
        <v>163</v>
      </c>
      <c r="J18" s="137"/>
      <c r="K18" s="132"/>
    </row>
    <row r="19" spans="1:11" ht="30" customHeight="1" thickBot="1" x14ac:dyDescent="0.35">
      <c r="A19" s="301" t="s">
        <v>70</v>
      </c>
      <c r="B19" s="98" t="s">
        <v>2</v>
      </c>
      <c r="C19" s="293">
        <f>D19+E19</f>
        <v>66</v>
      </c>
      <c r="D19" s="301">
        <f>J7*0.5+K7*0.5</f>
        <v>16.5</v>
      </c>
      <c r="E19" s="342">
        <f>F20+E20+G20</f>
        <v>49.5</v>
      </c>
      <c r="F19" s="345"/>
      <c r="G19" s="346"/>
      <c r="H19" s="178"/>
      <c r="I19" s="178"/>
      <c r="J19" s="1"/>
      <c r="K19" s="1"/>
    </row>
    <row r="20" spans="1:11" s="7" customFormat="1" ht="30" customHeight="1" thickBot="1" x14ac:dyDescent="0.4">
      <c r="A20" s="6" t="s">
        <v>155</v>
      </c>
      <c r="B20" s="37" t="s">
        <v>15</v>
      </c>
      <c r="C20" s="302">
        <f>D20+E20</f>
        <v>66</v>
      </c>
      <c r="D20" s="195">
        <f>0.5*J7+0.5*K7</f>
        <v>16.5</v>
      </c>
      <c r="E20" s="195">
        <f>J20*J7+K20*K7</f>
        <v>49.5</v>
      </c>
      <c r="F20" s="302"/>
      <c r="G20" s="302"/>
      <c r="H20" s="181">
        <v>18</v>
      </c>
      <c r="I20" s="178"/>
      <c r="J20" s="2">
        <v>1.5</v>
      </c>
      <c r="K20" s="4">
        <v>1.5</v>
      </c>
    </row>
    <row r="21" spans="1:11" s="7" customFormat="1" ht="34.950000000000003" customHeight="1" thickBot="1" x14ac:dyDescent="0.4">
      <c r="A21" s="347" t="s">
        <v>72</v>
      </c>
      <c r="B21" s="348"/>
      <c r="C21" s="198"/>
      <c r="D21" s="151"/>
      <c r="E21" s="349">
        <f>E16+E19</f>
        <v>330</v>
      </c>
      <c r="F21" s="350"/>
      <c r="G21" s="351"/>
      <c r="H21" s="71"/>
      <c r="I21" s="71"/>
      <c r="J21" s="199">
        <f>SUM(J10:J11,J13:J15,J20:J20)</f>
        <v>10</v>
      </c>
      <c r="K21" s="199">
        <f>SUM(K10:K11,K13:K15,K20:K20)</f>
        <v>10</v>
      </c>
    </row>
    <row r="22" spans="1:11" s="7" customFormat="1" ht="34.950000000000003" customHeight="1" thickBot="1" x14ac:dyDescent="0.4">
      <c r="A22" s="394" t="s">
        <v>165</v>
      </c>
      <c r="B22" s="395"/>
      <c r="C22" s="125">
        <f>C17+C19</f>
        <v>643.5</v>
      </c>
      <c r="D22" s="296">
        <f>D17+D19</f>
        <v>313.5</v>
      </c>
      <c r="E22" s="349">
        <f>E21</f>
        <v>330</v>
      </c>
      <c r="F22" s="350"/>
      <c r="G22" s="351"/>
      <c r="H22" s="302"/>
      <c r="I22" s="302"/>
      <c r="J22" s="125">
        <f>J17+J20</f>
        <v>20.5</v>
      </c>
      <c r="K22" s="125">
        <f>K17+K20</f>
        <v>20.5</v>
      </c>
    </row>
    <row r="23" spans="1:11" s="7" customFormat="1" ht="34.950000000000003" customHeight="1" thickBot="1" x14ac:dyDescent="0.4">
      <c r="A23" s="354" t="s">
        <v>169</v>
      </c>
      <c r="B23" s="355"/>
      <c r="C23" s="367"/>
      <c r="D23" s="368"/>
      <c r="E23" s="359"/>
      <c r="F23" s="360"/>
      <c r="G23" s="361"/>
      <c r="H23" s="79">
        <v>35</v>
      </c>
      <c r="I23" s="79">
        <v>9</v>
      </c>
      <c r="J23" s="80"/>
      <c r="K23" s="80"/>
    </row>
    <row r="24" spans="1:11" s="7" customFormat="1" ht="32.4" customHeight="1" thickTop="1" thickBot="1" x14ac:dyDescent="0.4">
      <c r="A24" s="73" t="s">
        <v>73</v>
      </c>
      <c r="B24" s="300" t="s">
        <v>74</v>
      </c>
      <c r="C24" s="205">
        <f>E24</f>
        <v>38</v>
      </c>
      <c r="D24" s="183" t="s">
        <v>163</v>
      </c>
      <c r="E24" s="362">
        <f>F28+F26+G25+E29+F27</f>
        <v>38</v>
      </c>
      <c r="F24" s="363"/>
      <c r="G24" s="364"/>
      <c r="H24" s="74"/>
      <c r="I24" s="74"/>
      <c r="J24" s="403" t="s">
        <v>91</v>
      </c>
      <c r="K24" s="404"/>
    </row>
    <row r="25" spans="1:11" s="7" customFormat="1" ht="30" customHeight="1" thickBot="1" x14ac:dyDescent="0.4">
      <c r="A25" s="6" t="s">
        <v>75</v>
      </c>
      <c r="B25" s="69" t="s">
        <v>7</v>
      </c>
      <c r="C25" s="124"/>
      <c r="D25" s="124"/>
      <c r="E25" s="193"/>
      <c r="F25" s="193"/>
      <c r="G25" s="193">
        <f>J25+K25</f>
        <v>16</v>
      </c>
      <c r="H25" s="5"/>
      <c r="I25" s="5"/>
      <c r="J25" s="4">
        <v>8</v>
      </c>
      <c r="K25" s="4">
        <v>8</v>
      </c>
    </row>
    <row r="26" spans="1:11" s="7" customFormat="1" ht="30" customHeight="1" thickBot="1" x14ac:dyDescent="0.4">
      <c r="A26" s="6" t="s">
        <v>76</v>
      </c>
      <c r="B26" s="69" t="s">
        <v>1</v>
      </c>
      <c r="C26" s="124"/>
      <c r="D26" s="124"/>
      <c r="E26" s="193"/>
      <c r="F26" s="193">
        <f>K26+J26</f>
        <v>4</v>
      </c>
      <c r="G26" s="193"/>
      <c r="H26" s="5"/>
      <c r="I26" s="5"/>
      <c r="J26" s="4">
        <v>2</v>
      </c>
      <c r="K26" s="4">
        <v>2</v>
      </c>
    </row>
    <row r="27" spans="1:11" s="7" customFormat="1" ht="30" customHeight="1" thickBot="1" x14ac:dyDescent="0.4">
      <c r="A27" s="6" t="s">
        <v>77</v>
      </c>
      <c r="B27" s="69" t="s">
        <v>98</v>
      </c>
      <c r="C27" s="124"/>
      <c r="D27" s="124"/>
      <c r="E27" s="193"/>
      <c r="F27" s="193">
        <f>J27+K27</f>
        <v>4</v>
      </c>
      <c r="G27" s="193"/>
      <c r="H27" s="5"/>
      <c r="I27" s="5"/>
      <c r="J27" s="4">
        <v>2</v>
      </c>
      <c r="K27" s="4">
        <v>2</v>
      </c>
    </row>
    <row r="28" spans="1:11" s="7" customFormat="1" ht="30" customHeight="1" thickBot="1" x14ac:dyDescent="0.4">
      <c r="A28" s="6" t="s">
        <v>78</v>
      </c>
      <c r="B28" s="69" t="s">
        <v>19</v>
      </c>
      <c r="C28" s="124"/>
      <c r="D28" s="124"/>
      <c r="E28" s="193"/>
      <c r="F28" s="193">
        <f>K28+J28</f>
        <v>6</v>
      </c>
      <c r="G28" s="193"/>
      <c r="H28" s="5"/>
      <c r="I28" s="5"/>
      <c r="J28" s="4">
        <v>3</v>
      </c>
      <c r="K28" s="4">
        <v>3</v>
      </c>
    </row>
    <row r="29" spans="1:11" s="7" customFormat="1" ht="30" customHeight="1" thickBot="1" x14ac:dyDescent="0.4">
      <c r="A29" s="6" t="s">
        <v>79</v>
      </c>
      <c r="B29" s="124" t="s">
        <v>202</v>
      </c>
      <c r="C29" s="124"/>
      <c r="D29" s="124"/>
      <c r="E29" s="235">
        <f>J29+K29</f>
        <v>8</v>
      </c>
      <c r="F29" s="93"/>
      <c r="G29" s="236"/>
      <c r="H29" s="125"/>
      <c r="I29" s="5"/>
      <c r="J29" s="4">
        <v>4</v>
      </c>
      <c r="K29" s="4">
        <v>4</v>
      </c>
    </row>
    <row r="30" spans="1:11" s="90" customFormat="1" ht="30" customHeight="1" thickBot="1" x14ac:dyDescent="0.4">
      <c r="A30" s="365" t="s">
        <v>148</v>
      </c>
      <c r="B30" s="366"/>
      <c r="C30" s="185"/>
      <c r="D30" s="185"/>
      <c r="E30" s="87"/>
      <c r="F30" s="88"/>
      <c r="G30" s="89"/>
      <c r="H30" s="78"/>
      <c r="I30" s="78"/>
      <c r="J30" s="5">
        <f>SUM(J25:J29)</f>
        <v>19</v>
      </c>
      <c r="K30" s="5">
        <f>SUM(K25:K29)</f>
        <v>19</v>
      </c>
    </row>
    <row r="31" spans="1:11" s="7" customFormat="1" ht="30" customHeight="1" thickBot="1" x14ac:dyDescent="0.4">
      <c r="A31" s="81"/>
      <c r="B31" s="82"/>
      <c r="C31" s="17"/>
      <c r="D31" s="17"/>
      <c r="E31" s="17"/>
      <c r="F31" s="289"/>
      <c r="G31" s="20"/>
      <c r="H31" s="17"/>
      <c r="I31" s="17"/>
      <c r="J31" s="19"/>
      <c r="K31" s="306"/>
    </row>
    <row r="32" spans="1:11" s="7" customFormat="1" ht="30" customHeight="1" x14ac:dyDescent="0.35">
      <c r="A32" s="76" t="s">
        <v>80</v>
      </c>
      <c r="B32" s="77" t="s">
        <v>83</v>
      </c>
      <c r="C32" s="186"/>
      <c r="D32" s="186"/>
      <c r="E32" s="332" t="s">
        <v>94</v>
      </c>
      <c r="F32" s="333"/>
      <c r="G32" s="333"/>
      <c r="H32" s="333"/>
      <c r="I32" s="333"/>
      <c r="J32" s="333"/>
      <c r="K32" s="405"/>
    </row>
    <row r="33" spans="1:11" s="7" customFormat="1" ht="30" customHeight="1" x14ac:dyDescent="0.35">
      <c r="A33" s="122" t="s">
        <v>206</v>
      </c>
      <c r="B33" s="75" t="s">
        <v>85</v>
      </c>
      <c r="C33" s="75">
        <f>C34+C35+C36</f>
        <v>2</v>
      </c>
      <c r="D33" s="75"/>
      <c r="E33" s="53"/>
      <c r="F33" s="53"/>
      <c r="G33" s="75"/>
      <c r="H33" s="53"/>
      <c r="I33" s="53"/>
      <c r="J33" s="95"/>
      <c r="K33" s="95">
        <v>2</v>
      </c>
    </row>
    <row r="34" spans="1:11" s="7" customFormat="1" ht="30" customHeight="1" x14ac:dyDescent="0.35">
      <c r="A34" s="122" t="s">
        <v>207</v>
      </c>
      <c r="B34" s="75" t="s">
        <v>89</v>
      </c>
      <c r="C34" s="75">
        <v>1</v>
      </c>
      <c r="D34" s="75"/>
      <c r="E34" s="53"/>
      <c r="F34" s="53"/>
      <c r="G34" s="75"/>
      <c r="H34" s="53"/>
      <c r="I34" s="53"/>
      <c r="J34" s="61"/>
      <c r="K34" s="61"/>
    </row>
    <row r="35" spans="1:11" s="7" customFormat="1" ht="30" customHeight="1" x14ac:dyDescent="0.35">
      <c r="A35" s="122" t="s">
        <v>208</v>
      </c>
      <c r="B35" s="75" t="s">
        <v>1</v>
      </c>
      <c r="C35" s="75">
        <v>0.5</v>
      </c>
      <c r="D35" s="75"/>
      <c r="E35" s="53"/>
      <c r="F35" s="53"/>
      <c r="G35" s="75"/>
      <c r="H35" s="53"/>
      <c r="I35" s="53"/>
      <c r="J35" s="61"/>
      <c r="K35" s="61"/>
    </row>
    <row r="36" spans="1:11" s="7" customFormat="1" ht="29.4" customHeight="1" thickBot="1" x14ac:dyDescent="0.4">
      <c r="A36" s="123" t="s">
        <v>209</v>
      </c>
      <c r="B36" s="100" t="s">
        <v>41</v>
      </c>
      <c r="C36" s="100">
        <v>0.5</v>
      </c>
      <c r="D36" s="100"/>
      <c r="E36" s="101"/>
      <c r="F36" s="101"/>
      <c r="G36" s="100"/>
      <c r="H36" s="101"/>
      <c r="I36" s="101"/>
      <c r="J36" s="91"/>
      <c r="K36" s="91"/>
    </row>
    <row r="37" spans="1:11" s="7" customFormat="1" ht="30" customHeight="1" thickBot="1" x14ac:dyDescent="0.4">
      <c r="A37" s="335" t="s">
        <v>93</v>
      </c>
      <c r="B37" s="336"/>
      <c r="C37" s="276">
        <v>1</v>
      </c>
      <c r="D37" s="291"/>
      <c r="E37" s="103"/>
      <c r="F37" s="104"/>
      <c r="G37" s="105"/>
      <c r="H37" s="104"/>
      <c r="I37" s="104"/>
      <c r="J37" s="106"/>
      <c r="K37" s="106"/>
    </row>
    <row r="38" spans="1:11" ht="40.200000000000003" customHeight="1" x14ac:dyDescent="0.3">
      <c r="A38" s="20"/>
      <c r="B38" s="21"/>
      <c r="C38" s="21"/>
      <c r="D38" s="21"/>
      <c r="E38" s="17"/>
      <c r="F38" s="18"/>
      <c r="G38" s="19"/>
      <c r="H38" s="17"/>
      <c r="I38" s="18"/>
      <c r="J38" s="19"/>
      <c r="K38" s="19"/>
    </row>
    <row r="39" spans="1:11" ht="18" x14ac:dyDescent="0.3">
      <c r="A39" s="370"/>
      <c r="B39" s="370"/>
      <c r="C39" s="297"/>
      <c r="D39" s="297"/>
      <c r="E39" s="17"/>
      <c r="F39" s="18"/>
      <c r="G39" s="21"/>
      <c r="H39" s="17"/>
      <c r="I39" s="18"/>
      <c r="J39" s="21"/>
      <c r="K39" s="17"/>
    </row>
    <row r="40" spans="1:11" ht="40.200000000000003" customHeight="1" x14ac:dyDescent="0.3">
      <c r="A40" s="20"/>
      <c r="B40" s="21"/>
      <c r="C40" s="21"/>
      <c r="D40" s="21"/>
      <c r="E40" s="17"/>
      <c r="F40" s="18"/>
      <c r="G40" s="19"/>
      <c r="H40" s="17"/>
      <c r="I40" s="18"/>
      <c r="J40" s="19"/>
      <c r="K40" s="19"/>
    </row>
    <row r="41" spans="1:11" ht="40.200000000000003" customHeight="1" x14ac:dyDescent="0.3">
      <c r="A41" s="17"/>
      <c r="B41" s="22"/>
      <c r="C41" s="22"/>
      <c r="D41" s="22"/>
      <c r="E41" s="23"/>
      <c r="F41" s="18"/>
      <c r="G41" s="23"/>
      <c r="H41" s="23"/>
      <c r="I41" s="18"/>
      <c r="J41" s="23"/>
      <c r="K41" s="23"/>
    </row>
  </sheetData>
  <mergeCells count="39">
    <mergeCell ref="A2:K2"/>
    <mergeCell ref="A3:A4"/>
    <mergeCell ref="B3:B4"/>
    <mergeCell ref="E3:G3"/>
    <mergeCell ref="H3:I3"/>
    <mergeCell ref="J3:K3"/>
    <mergeCell ref="E12:G12"/>
    <mergeCell ref="A6:A7"/>
    <mergeCell ref="B6:B7"/>
    <mergeCell ref="C6:C7"/>
    <mergeCell ref="D6:D7"/>
    <mergeCell ref="E6:G7"/>
    <mergeCell ref="I6:I7"/>
    <mergeCell ref="J6:K6"/>
    <mergeCell ref="E8:G8"/>
    <mergeCell ref="J8:K8"/>
    <mergeCell ref="E9:G9"/>
    <mergeCell ref="H6:H7"/>
    <mergeCell ref="A23:B23"/>
    <mergeCell ref="C23:D23"/>
    <mergeCell ref="E23:G23"/>
    <mergeCell ref="E24:G24"/>
    <mergeCell ref="A16:B16"/>
    <mergeCell ref="E16:G16"/>
    <mergeCell ref="A17:B17"/>
    <mergeCell ref="E17:G17"/>
    <mergeCell ref="A18:B18"/>
    <mergeCell ref="C18:D18"/>
    <mergeCell ref="E18:G18"/>
    <mergeCell ref="E19:G19"/>
    <mergeCell ref="A21:B21"/>
    <mergeCell ref="E21:G21"/>
    <mergeCell ref="A22:B22"/>
    <mergeCell ref="E22:G22"/>
    <mergeCell ref="J24:K24"/>
    <mergeCell ref="A30:B30"/>
    <mergeCell ref="E32:K32"/>
    <mergeCell ref="A37:B37"/>
    <mergeCell ref="A39:B39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83" fitToHeight="2" orientation="landscape" horizontalDpi="0" verticalDpi="0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2"/>
  <sheetViews>
    <sheetView tabSelected="1" view="pageBreakPreview" topLeftCell="A16" zoomScale="60" zoomScaleNormal="100" workbookViewId="0">
      <selection activeCell="D28" sqref="D28"/>
    </sheetView>
  </sheetViews>
  <sheetFormatPr defaultRowHeight="14.4" x14ac:dyDescent="0.3"/>
  <cols>
    <col min="1" max="1" width="19.5546875" customWidth="1"/>
    <col min="2" max="2" width="60.6640625" customWidth="1"/>
    <col min="3" max="3" width="14.6640625" customWidth="1"/>
    <col min="4" max="4" width="13.6640625" customWidth="1"/>
    <col min="5" max="5" width="7" customWidth="1"/>
    <col min="6" max="7" width="7.109375" customWidth="1"/>
    <col min="8" max="8" width="16.33203125" customWidth="1"/>
    <col min="9" max="9" width="10" customWidth="1"/>
    <col min="10" max="15" width="7" customWidth="1"/>
    <col min="16" max="17" width="8.109375" customWidth="1"/>
    <col min="18" max="18" width="8.5546875" customWidth="1"/>
  </cols>
  <sheetData>
    <row r="1" spans="1:18" s="29" customFormat="1" ht="27" customHeight="1" x14ac:dyDescent="0.45">
      <c r="A1" s="28" t="s">
        <v>115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8"/>
      <c r="Q1" s="38"/>
      <c r="R1" s="28"/>
    </row>
    <row r="2" spans="1:18" ht="27.6" customHeight="1" thickBot="1" x14ac:dyDescent="0.35">
      <c r="A2" s="467" t="s">
        <v>146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8" ht="55.95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  <c r="O3" s="376"/>
      <c r="P3" s="376"/>
      <c r="Q3" s="376"/>
      <c r="R3" s="376"/>
    </row>
    <row r="4" spans="1:18" ht="73.2" customHeight="1" thickBot="1" x14ac:dyDescent="0.35">
      <c r="A4" s="372"/>
      <c r="B4" s="374"/>
      <c r="C4" s="241" t="s">
        <v>160</v>
      </c>
      <c r="D4" s="241" t="s">
        <v>160</v>
      </c>
      <c r="E4" s="42" t="s">
        <v>47</v>
      </c>
      <c r="F4" s="43" t="s">
        <v>48</v>
      </c>
      <c r="G4" s="42" t="s">
        <v>49</v>
      </c>
      <c r="H4" s="16" t="s">
        <v>21</v>
      </c>
      <c r="I4" s="3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  <c r="O4" s="42" t="s">
        <v>59</v>
      </c>
      <c r="P4" s="42" t="s">
        <v>224</v>
      </c>
      <c r="Q4" s="42" t="s">
        <v>225</v>
      </c>
      <c r="R4" s="42" t="s">
        <v>90</v>
      </c>
    </row>
    <row r="5" spans="1:18" s="49" customFormat="1" ht="16.95" customHeight="1" thickBot="1" x14ac:dyDescent="0.3">
      <c r="A5" s="46">
        <v>1</v>
      </c>
      <c r="B5" s="47">
        <v>2</v>
      </c>
      <c r="C5" s="47"/>
      <c r="D5" s="47"/>
      <c r="E5" s="47">
        <v>3</v>
      </c>
      <c r="F5" s="46">
        <v>4</v>
      </c>
      <c r="G5" s="47">
        <v>5</v>
      </c>
      <c r="H5" s="47">
        <v>6</v>
      </c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47">
        <v>14</v>
      </c>
      <c r="Q5" s="47">
        <v>14</v>
      </c>
      <c r="R5" s="47">
        <v>15</v>
      </c>
    </row>
    <row r="6" spans="1:18" ht="19.2" customHeight="1" thickBot="1" x14ac:dyDescent="0.35">
      <c r="A6" s="384"/>
      <c r="B6" s="382" t="s">
        <v>43</v>
      </c>
      <c r="C6" s="464" t="s">
        <v>226</v>
      </c>
      <c r="D6" s="464" t="s">
        <v>193</v>
      </c>
      <c r="E6" s="386" t="s">
        <v>227</v>
      </c>
      <c r="F6" s="387"/>
      <c r="G6" s="388"/>
      <c r="H6" s="384"/>
      <c r="I6" s="384"/>
      <c r="J6" s="380" t="s">
        <v>52</v>
      </c>
      <c r="K6" s="381"/>
      <c r="L6" s="381"/>
      <c r="M6" s="381"/>
      <c r="N6" s="381"/>
      <c r="O6" s="381"/>
      <c r="P6" s="381"/>
      <c r="Q6" s="381"/>
      <c r="R6" s="381"/>
    </row>
    <row r="7" spans="1:18" ht="32.4" customHeight="1" thickBot="1" x14ac:dyDescent="0.35">
      <c r="A7" s="385"/>
      <c r="B7" s="383"/>
      <c r="C7" s="465"/>
      <c r="D7" s="465"/>
      <c r="E7" s="389"/>
      <c r="F7" s="390"/>
      <c r="G7" s="391"/>
      <c r="H7" s="419"/>
      <c r="I7" s="419"/>
      <c r="J7" s="44">
        <v>32</v>
      </c>
      <c r="K7" s="44">
        <v>33</v>
      </c>
      <c r="L7" s="44">
        <v>33</v>
      </c>
      <c r="M7" s="44">
        <v>33</v>
      </c>
      <c r="N7" s="44">
        <v>33</v>
      </c>
      <c r="O7" s="44">
        <v>33</v>
      </c>
      <c r="P7" s="44">
        <v>16</v>
      </c>
      <c r="Q7" s="44">
        <v>17</v>
      </c>
      <c r="R7" s="44">
        <v>33</v>
      </c>
    </row>
    <row r="8" spans="1:18" ht="30" customHeight="1" thickBot="1" x14ac:dyDescent="0.35">
      <c r="A8" s="3"/>
      <c r="B8" s="316" t="s">
        <v>44</v>
      </c>
      <c r="C8" s="282">
        <f>C18+C26</f>
        <v>4035</v>
      </c>
      <c r="D8" s="263">
        <f>D18</f>
        <v>1976</v>
      </c>
      <c r="E8" s="342">
        <f>E17+E26</f>
        <v>2059</v>
      </c>
      <c r="F8" s="345"/>
      <c r="G8" s="346"/>
      <c r="H8" s="16"/>
      <c r="I8" s="3"/>
      <c r="J8" s="330" t="s">
        <v>51</v>
      </c>
      <c r="K8" s="331"/>
      <c r="L8" s="331"/>
      <c r="M8" s="331"/>
      <c r="N8" s="331"/>
      <c r="O8" s="331"/>
      <c r="P8" s="331"/>
      <c r="Q8" s="331"/>
      <c r="R8" s="331"/>
    </row>
    <row r="9" spans="1:18" ht="30" customHeight="1" thickBot="1" x14ac:dyDescent="0.35">
      <c r="A9" s="113" t="s">
        <v>45</v>
      </c>
      <c r="B9" s="113" t="s">
        <v>12</v>
      </c>
      <c r="C9" s="313">
        <f>C10+C11+C12</f>
        <v>2576</v>
      </c>
      <c r="D9" s="311">
        <f>D10+D11+D12</f>
        <v>1301</v>
      </c>
      <c r="E9" s="342">
        <f>G12+G11+E10</f>
        <v>1275</v>
      </c>
      <c r="F9" s="345"/>
      <c r="G9" s="346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7" customFormat="1" ht="30" customHeight="1" thickBot="1" x14ac:dyDescent="0.4">
      <c r="A10" s="6" t="s">
        <v>61</v>
      </c>
      <c r="B10" s="25" t="s">
        <v>25</v>
      </c>
      <c r="C10" s="281">
        <f>D10+E10+F10+G10</f>
        <v>1283</v>
      </c>
      <c r="D10" s="191">
        <f>J7*1+K7*1+L7*1+M7*1+N7*1+O7*2+P7*2+R7*2+Q7*2</f>
        <v>362</v>
      </c>
      <c r="E10" s="58">
        <f>J10*J7+K10*K7+L10*L7+M10*M7+N10*N7+O10*O7+P10*P7+R10*R7+Q10*Q7</f>
        <v>921</v>
      </c>
      <c r="F10" s="66"/>
      <c r="G10" s="59"/>
      <c r="H10" s="36" t="s">
        <v>116</v>
      </c>
      <c r="I10" s="120">
        <v>14</v>
      </c>
      <c r="J10" s="26">
        <v>3</v>
      </c>
      <c r="K10" s="26">
        <v>3</v>
      </c>
      <c r="L10" s="26">
        <v>3</v>
      </c>
      <c r="M10" s="26">
        <v>3</v>
      </c>
      <c r="N10" s="26">
        <v>4</v>
      </c>
      <c r="O10" s="26">
        <v>4</v>
      </c>
      <c r="P10" s="26">
        <v>4</v>
      </c>
      <c r="Q10" s="26">
        <v>4</v>
      </c>
      <c r="R10" s="26">
        <v>4</v>
      </c>
    </row>
    <row r="11" spans="1:18" s="7" customFormat="1" ht="30" customHeight="1" thickBot="1" x14ac:dyDescent="0.4">
      <c r="A11" s="6" t="s">
        <v>62</v>
      </c>
      <c r="B11" s="25" t="s">
        <v>5</v>
      </c>
      <c r="C11" s="281">
        <f t="shared" ref="C11:C12" si="0">D11+E11+F11+G11</f>
        <v>1218</v>
      </c>
      <c r="D11" s="191">
        <f>J7*2+K7*3+L7*3+M7*3+N7*4+O7*4+P7*4+R7*4+Q7*4</f>
        <v>889</v>
      </c>
      <c r="E11" s="67"/>
      <c r="F11" s="68"/>
      <c r="G11" s="121">
        <f>N11*N7+O11*O7+P11*P7+R11*R7+M11*M7+L11*L7+K11*K7+J11*J7+Q11*Q7</f>
        <v>329</v>
      </c>
      <c r="H11" s="36" t="s">
        <v>27</v>
      </c>
      <c r="I11" s="120">
        <v>14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2</v>
      </c>
      <c r="Q11" s="26">
        <v>2</v>
      </c>
      <c r="R11" s="26">
        <v>2</v>
      </c>
    </row>
    <row r="12" spans="1:18" s="7" customFormat="1" ht="30" customHeight="1" thickBot="1" x14ac:dyDescent="0.4">
      <c r="A12" s="6" t="s">
        <v>63</v>
      </c>
      <c r="B12" s="25" t="s">
        <v>26</v>
      </c>
      <c r="C12" s="281">
        <f t="shared" si="0"/>
        <v>75</v>
      </c>
      <c r="D12" s="191">
        <f>17*1+R7*1</f>
        <v>50</v>
      </c>
      <c r="E12" s="67"/>
      <c r="F12" s="68"/>
      <c r="G12" s="62">
        <f>P12*P7+Q12*Q7+R12*R7</f>
        <v>25</v>
      </c>
      <c r="H12" s="36" t="s">
        <v>152</v>
      </c>
      <c r="I12" s="36"/>
      <c r="J12" s="26"/>
      <c r="K12" s="26"/>
      <c r="L12" s="26"/>
      <c r="M12" s="26"/>
      <c r="N12" s="4"/>
      <c r="O12" s="26"/>
      <c r="P12" s="4">
        <v>0</v>
      </c>
      <c r="Q12" s="4">
        <v>0.5</v>
      </c>
      <c r="R12" s="26">
        <v>0.5</v>
      </c>
    </row>
    <row r="13" spans="1:18" ht="30" customHeight="1" thickBot="1" x14ac:dyDescent="0.35">
      <c r="A13" s="113" t="s">
        <v>65</v>
      </c>
      <c r="B13" s="113" t="s">
        <v>0</v>
      </c>
      <c r="C13" s="310">
        <f>C14+C15+C16</f>
        <v>1333</v>
      </c>
      <c r="D13" s="318">
        <f>D14+D15+D16</f>
        <v>675</v>
      </c>
      <c r="E13" s="339">
        <f>F14+F15+F16</f>
        <v>658</v>
      </c>
      <c r="F13" s="340"/>
      <c r="G13" s="3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7" customFormat="1" ht="30" customHeight="1" thickBot="1" x14ac:dyDescent="0.4">
      <c r="A14" s="6" t="s">
        <v>66</v>
      </c>
      <c r="B14" s="112" t="s">
        <v>1</v>
      </c>
      <c r="C14" s="193">
        <f>D14+E14+F14+G14</f>
        <v>839.5</v>
      </c>
      <c r="D14" s="320">
        <f>J7*1+K7*1+L7*2+M7*2+N7*2+O7*2+P7*2+R7*2+Q7*2</f>
        <v>461</v>
      </c>
      <c r="E14" s="58"/>
      <c r="F14" s="51">
        <f>J14*J7+K14*K7+L14*L7+M14*M7+N14*N7+O14*O7+P14*P7+R14*R7+Q14*Q7</f>
        <v>378.5</v>
      </c>
      <c r="G14" s="59"/>
      <c r="H14" s="134" t="s">
        <v>153</v>
      </c>
      <c r="I14" s="134">
        <v>12</v>
      </c>
      <c r="J14" s="26">
        <v>1</v>
      </c>
      <c r="K14" s="26">
        <v>1.5</v>
      </c>
      <c r="L14" s="26">
        <v>1.5</v>
      </c>
      <c r="M14" s="26">
        <v>1.5</v>
      </c>
      <c r="N14" s="26">
        <v>1.5</v>
      </c>
      <c r="O14" s="26">
        <v>1.5</v>
      </c>
      <c r="P14" s="26">
        <v>1.5</v>
      </c>
      <c r="Q14" s="26">
        <v>1.5</v>
      </c>
      <c r="R14" s="26">
        <v>1.5</v>
      </c>
    </row>
    <row r="15" spans="1:18" s="7" customFormat="1" ht="30" customHeight="1" thickBot="1" x14ac:dyDescent="0.4">
      <c r="A15" s="6" t="s">
        <v>67</v>
      </c>
      <c r="B15" s="112" t="s">
        <v>18</v>
      </c>
      <c r="C15" s="193">
        <f t="shared" ref="C15:C16" si="1">D15+E15+F15+G15</f>
        <v>147</v>
      </c>
      <c r="D15" s="320">
        <f>J7*0.5+K7*0.5+L7*0.5</f>
        <v>49</v>
      </c>
      <c r="E15" s="60"/>
      <c r="F15" s="61">
        <f>J15*J7+K15*K7+L15*L7</f>
        <v>98</v>
      </c>
      <c r="G15" s="62"/>
      <c r="H15" s="134">
        <v>6</v>
      </c>
      <c r="I15" s="134"/>
      <c r="J15" s="26">
        <v>1</v>
      </c>
      <c r="K15" s="26">
        <v>1</v>
      </c>
      <c r="L15" s="26">
        <v>1</v>
      </c>
      <c r="M15" s="26"/>
      <c r="N15" s="26"/>
      <c r="O15" s="26"/>
      <c r="P15" s="26"/>
      <c r="Q15" s="26"/>
      <c r="R15" s="26"/>
    </row>
    <row r="16" spans="1:18" s="7" customFormat="1" ht="30" customHeight="1" thickBot="1" x14ac:dyDescent="0.4">
      <c r="A16" s="6" t="s">
        <v>68</v>
      </c>
      <c r="B16" s="41" t="s">
        <v>41</v>
      </c>
      <c r="C16" s="193">
        <f t="shared" si="1"/>
        <v>346.5</v>
      </c>
      <c r="D16" s="320">
        <f>M7*1+N7*1+O7*1+P7*1+R7*1+Q7*1</f>
        <v>165</v>
      </c>
      <c r="E16" s="63"/>
      <c r="F16" s="64">
        <f>M16*M7+N16*N7+O16*O7+P16*P7+R16*R7+Q16*Q7</f>
        <v>181.5</v>
      </c>
      <c r="G16" s="65"/>
      <c r="H16" s="134" t="s">
        <v>128</v>
      </c>
      <c r="I16" s="134"/>
      <c r="J16" s="26"/>
      <c r="K16" s="26"/>
      <c r="L16" s="26"/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1.5</v>
      </c>
    </row>
    <row r="17" spans="1:18" s="7" customFormat="1" ht="30" customHeight="1" thickBot="1" x14ac:dyDescent="0.4">
      <c r="A17" s="337" t="s">
        <v>171</v>
      </c>
      <c r="B17" s="338"/>
      <c r="C17" s="194"/>
      <c r="D17" s="317"/>
      <c r="E17" s="339">
        <f>E13+E9</f>
        <v>1933</v>
      </c>
      <c r="F17" s="412"/>
      <c r="G17" s="413"/>
      <c r="H17" s="39"/>
      <c r="I17" s="1"/>
      <c r="J17" s="50">
        <f t="shared" ref="J17:O17" si="2">SUM(J10:J16)</f>
        <v>6</v>
      </c>
      <c r="K17" s="50">
        <f t="shared" si="2"/>
        <v>6.5</v>
      </c>
      <c r="L17" s="50">
        <f t="shared" si="2"/>
        <v>6.5</v>
      </c>
      <c r="M17" s="50">
        <f t="shared" si="2"/>
        <v>6.5</v>
      </c>
      <c r="N17" s="50">
        <f t="shared" si="2"/>
        <v>7.5</v>
      </c>
      <c r="O17" s="50">
        <f t="shared" si="2"/>
        <v>7.5</v>
      </c>
      <c r="P17" s="50">
        <f t="shared" ref="P17:Q17" si="3">SUM(P10:P16)</f>
        <v>8.5</v>
      </c>
      <c r="Q17" s="50">
        <f t="shared" si="3"/>
        <v>9</v>
      </c>
      <c r="R17" s="50">
        <f>SUM(R10:R16)</f>
        <v>9.5</v>
      </c>
    </row>
    <row r="18" spans="1:18" s="7" customFormat="1" ht="30" customHeight="1" thickBot="1" x14ac:dyDescent="0.4">
      <c r="A18" s="425" t="s">
        <v>183</v>
      </c>
      <c r="B18" s="425"/>
      <c r="C18" s="125">
        <f>C9+C13</f>
        <v>3909</v>
      </c>
      <c r="D18" s="151">
        <f>D9+D13</f>
        <v>1976</v>
      </c>
      <c r="E18" s="339">
        <f>E17</f>
        <v>1933</v>
      </c>
      <c r="F18" s="412"/>
      <c r="G18" s="413"/>
      <c r="H18" s="39"/>
      <c r="I18" s="1"/>
      <c r="J18" s="50"/>
      <c r="K18" s="50"/>
      <c r="L18" s="50"/>
      <c r="M18" s="50"/>
      <c r="N18" s="50"/>
      <c r="O18" s="50"/>
      <c r="P18" s="5"/>
      <c r="Q18" s="5"/>
      <c r="R18" s="50"/>
    </row>
    <row r="19" spans="1:18" ht="34.950000000000003" customHeight="1" thickBot="1" x14ac:dyDescent="0.35">
      <c r="A19" s="451" t="s">
        <v>172</v>
      </c>
      <c r="B19" s="452"/>
      <c r="C19" s="319"/>
      <c r="D19" s="319"/>
      <c r="E19" s="447"/>
      <c r="F19" s="448"/>
      <c r="G19" s="449"/>
      <c r="H19" s="152">
        <v>44</v>
      </c>
      <c r="I19" s="153">
        <v>3</v>
      </c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30" customHeight="1" thickBot="1" x14ac:dyDescent="0.35">
      <c r="A20" s="113" t="s">
        <v>154</v>
      </c>
      <c r="B20" s="113" t="s">
        <v>2</v>
      </c>
      <c r="C20" s="313">
        <f>C21+C22</f>
        <v>123.5</v>
      </c>
      <c r="D20" s="313">
        <f>D22</f>
        <v>16.5</v>
      </c>
      <c r="E20" s="339">
        <f>F21+F22</f>
        <v>107</v>
      </c>
      <c r="F20" s="340"/>
      <c r="G20" s="3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7" customFormat="1" ht="30" customHeight="1" thickBot="1" x14ac:dyDescent="0.4">
      <c r="A21" s="6" t="s">
        <v>155</v>
      </c>
      <c r="B21" s="37" t="s">
        <v>119</v>
      </c>
      <c r="C21" s="320">
        <f>E21+F21+G21</f>
        <v>99</v>
      </c>
      <c r="D21" s="229" t="s">
        <v>175</v>
      </c>
      <c r="E21" s="468"/>
      <c r="F21" s="53">
        <f>K21*K7+L21*L7+M21*M7+N21*N7+O21*O7+P21*P7+Q21*Q7</f>
        <v>99</v>
      </c>
      <c r="G21" s="54"/>
      <c r="H21" s="2"/>
      <c r="I21" s="2"/>
      <c r="J21" s="2"/>
      <c r="K21" s="4">
        <v>0.5</v>
      </c>
      <c r="L21" s="4">
        <v>0.5</v>
      </c>
      <c r="M21" s="4">
        <v>0.5</v>
      </c>
      <c r="N21" s="4">
        <v>0.5</v>
      </c>
      <c r="O21" s="4">
        <v>0.5</v>
      </c>
      <c r="P21" s="4">
        <v>0.5</v>
      </c>
      <c r="Q21" s="4">
        <v>0.5</v>
      </c>
      <c r="R21" s="4"/>
    </row>
    <row r="22" spans="1:18" s="7" customFormat="1" ht="30" customHeight="1" thickBot="1" x14ac:dyDescent="0.4">
      <c r="A22" s="6" t="s">
        <v>156</v>
      </c>
      <c r="B22" s="37" t="s">
        <v>3</v>
      </c>
      <c r="C22" s="193">
        <f>D22+E22+F22+G22</f>
        <v>24.5</v>
      </c>
      <c r="D22" s="193">
        <f>R7*R22</f>
        <v>16.5</v>
      </c>
      <c r="E22" s="468"/>
      <c r="F22" s="53">
        <f>R22*P7</f>
        <v>8</v>
      </c>
      <c r="G22" s="54"/>
      <c r="H22" s="2">
        <v>16</v>
      </c>
      <c r="I22" s="2"/>
      <c r="J22" s="2"/>
      <c r="K22" s="4"/>
      <c r="L22" s="4"/>
      <c r="M22" s="4"/>
      <c r="N22" s="4"/>
      <c r="O22" s="4"/>
      <c r="P22" s="4"/>
      <c r="Q22" s="4"/>
      <c r="R22" s="4">
        <v>0.5</v>
      </c>
    </row>
    <row r="23" spans="1:18" s="7" customFormat="1" ht="34.950000000000003" customHeight="1" thickBot="1" x14ac:dyDescent="0.4">
      <c r="A23" s="462" t="s">
        <v>72</v>
      </c>
      <c r="B23" s="463"/>
      <c r="C23" s="308"/>
      <c r="D23" s="308"/>
      <c r="E23" s="386">
        <f>E17+E20</f>
        <v>2040</v>
      </c>
      <c r="F23" s="387"/>
      <c r="G23" s="388"/>
      <c r="H23" s="71"/>
      <c r="I23" s="71"/>
      <c r="J23" s="72">
        <f>J17+J22+J21</f>
        <v>6</v>
      </c>
      <c r="K23" s="72">
        <f>K17+K22+K21</f>
        <v>7</v>
      </c>
      <c r="L23" s="72">
        <f>L17+L22+L21</f>
        <v>7</v>
      </c>
      <c r="M23" s="72">
        <f t="shared" ref="M23:R23" si="4">M17+M22+M21</f>
        <v>7</v>
      </c>
      <c r="N23" s="72">
        <f t="shared" si="4"/>
        <v>8</v>
      </c>
      <c r="O23" s="72">
        <f t="shared" si="4"/>
        <v>8</v>
      </c>
      <c r="P23" s="72">
        <f t="shared" si="4"/>
        <v>9</v>
      </c>
      <c r="Q23" s="72">
        <f t="shared" si="4"/>
        <v>9.5</v>
      </c>
      <c r="R23" s="72">
        <f t="shared" si="4"/>
        <v>10</v>
      </c>
    </row>
    <row r="24" spans="1:18" s="7" customFormat="1" ht="42" customHeight="1" thickBot="1" x14ac:dyDescent="0.4">
      <c r="A24" s="365" t="s">
        <v>165</v>
      </c>
      <c r="B24" s="434"/>
      <c r="C24" s="139">
        <f>C18+C20</f>
        <v>4032.5</v>
      </c>
      <c r="D24" s="139">
        <f>D18+D20</f>
        <v>1992.5</v>
      </c>
      <c r="E24" s="342">
        <f>E23</f>
        <v>2040</v>
      </c>
      <c r="F24" s="343"/>
      <c r="G24" s="344"/>
      <c r="H24" s="320"/>
      <c r="I24" s="320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 s="7" customFormat="1" ht="34.950000000000003" customHeight="1" thickBot="1" x14ac:dyDescent="0.4">
      <c r="A25" s="475" t="s">
        <v>150</v>
      </c>
      <c r="B25" s="452"/>
      <c r="C25" s="319"/>
      <c r="D25" s="319"/>
      <c r="E25" s="447"/>
      <c r="F25" s="448"/>
      <c r="G25" s="449"/>
      <c r="H25" s="476">
        <v>48</v>
      </c>
      <c r="I25" s="477">
        <v>3</v>
      </c>
      <c r="J25" s="478"/>
      <c r="K25" s="478"/>
      <c r="L25" s="478"/>
      <c r="M25" s="478"/>
      <c r="N25" s="479"/>
      <c r="O25" s="314"/>
      <c r="P25" s="314"/>
      <c r="Q25" s="314"/>
      <c r="R25" s="314"/>
    </row>
    <row r="26" spans="1:18" s="7" customFormat="1" ht="27.6" customHeight="1" thickBot="1" x14ac:dyDescent="0.4">
      <c r="A26" s="151" t="s">
        <v>73</v>
      </c>
      <c r="B26" s="98" t="s">
        <v>74</v>
      </c>
      <c r="C26" s="98">
        <v>126</v>
      </c>
      <c r="D26" s="98"/>
      <c r="E26" s="461">
        <f>G28+E27+F29+F30</f>
        <v>126</v>
      </c>
      <c r="F26" s="461"/>
      <c r="G26" s="461"/>
      <c r="H26" s="125"/>
      <c r="I26" s="125"/>
      <c r="J26" s="466" t="s">
        <v>91</v>
      </c>
      <c r="K26" s="466"/>
      <c r="L26" s="466"/>
      <c r="M26" s="466"/>
      <c r="N26" s="466"/>
      <c r="O26" s="466"/>
      <c r="P26" s="466"/>
      <c r="Q26" s="466"/>
      <c r="R26" s="466"/>
    </row>
    <row r="27" spans="1:18" s="7" customFormat="1" ht="30" customHeight="1" thickBot="1" x14ac:dyDescent="0.4">
      <c r="A27" s="6" t="s">
        <v>75</v>
      </c>
      <c r="B27" s="69" t="s">
        <v>96</v>
      </c>
      <c r="C27" s="124"/>
      <c r="D27" s="124"/>
      <c r="E27" s="58">
        <f>J27+K27+L27+M27+N27+O27+P27+R27+Q27</f>
        <v>62</v>
      </c>
      <c r="F27" s="51"/>
      <c r="G27" s="59"/>
      <c r="H27" s="5"/>
      <c r="I27" s="5"/>
      <c r="J27" s="4">
        <v>6</v>
      </c>
      <c r="K27" s="4">
        <v>6</v>
      </c>
      <c r="L27" s="4">
        <v>6</v>
      </c>
      <c r="M27" s="4">
        <v>8</v>
      </c>
      <c r="N27" s="4">
        <v>8</v>
      </c>
      <c r="O27" s="4">
        <v>8</v>
      </c>
      <c r="P27" s="4">
        <v>5</v>
      </c>
      <c r="Q27" s="4">
        <v>5</v>
      </c>
      <c r="R27" s="4">
        <v>10</v>
      </c>
    </row>
    <row r="28" spans="1:18" s="7" customFormat="1" ht="30" customHeight="1" thickBot="1" x14ac:dyDescent="0.4">
      <c r="A28" s="6" t="s">
        <v>76</v>
      </c>
      <c r="B28" s="69" t="s">
        <v>5</v>
      </c>
      <c r="C28" s="124"/>
      <c r="D28" s="124"/>
      <c r="E28" s="92"/>
      <c r="F28" s="61"/>
      <c r="G28" s="62">
        <f>J28+K28+L28+M28+N28+O28+P28+R28+Q28</f>
        <v>32</v>
      </c>
      <c r="H28" s="5"/>
      <c r="I28" s="5"/>
      <c r="J28" s="4">
        <v>4</v>
      </c>
      <c r="K28" s="4">
        <v>4</v>
      </c>
      <c r="L28" s="4">
        <v>4</v>
      </c>
      <c r="M28" s="4">
        <v>4</v>
      </c>
      <c r="N28" s="4">
        <v>4</v>
      </c>
      <c r="O28" s="4">
        <v>4</v>
      </c>
      <c r="P28" s="4">
        <v>2</v>
      </c>
      <c r="Q28" s="4">
        <v>2</v>
      </c>
      <c r="R28" s="4">
        <v>4</v>
      </c>
    </row>
    <row r="29" spans="1:18" s="7" customFormat="1" ht="30" customHeight="1" thickBot="1" x14ac:dyDescent="0.4">
      <c r="A29" s="6" t="s">
        <v>77</v>
      </c>
      <c r="B29" s="69" t="s">
        <v>1</v>
      </c>
      <c r="C29" s="124"/>
      <c r="D29" s="124"/>
      <c r="E29" s="63"/>
      <c r="F29" s="93">
        <f>J29+K29+L29+M29+N29+O29+P29+R29+Q29</f>
        <v>22</v>
      </c>
      <c r="G29" s="94"/>
      <c r="H29" s="5"/>
      <c r="I29" s="5"/>
      <c r="J29" s="4"/>
      <c r="K29" s="4">
        <v>2</v>
      </c>
      <c r="L29" s="4">
        <v>2</v>
      </c>
      <c r="M29" s="4">
        <v>2</v>
      </c>
      <c r="N29" s="4">
        <v>4</v>
      </c>
      <c r="O29" s="4">
        <v>4</v>
      </c>
      <c r="P29" s="4">
        <v>2</v>
      </c>
      <c r="Q29" s="4">
        <v>2</v>
      </c>
      <c r="R29" s="4">
        <v>4</v>
      </c>
    </row>
    <row r="30" spans="1:18" s="7" customFormat="1" ht="30" customHeight="1" thickBot="1" x14ac:dyDescent="0.4">
      <c r="A30" s="6" t="s">
        <v>78</v>
      </c>
      <c r="B30" s="69" t="s">
        <v>98</v>
      </c>
      <c r="C30" s="124"/>
      <c r="D30" s="184"/>
      <c r="E30" s="63"/>
      <c r="F30" s="93">
        <f>J30+K30+L30+M30+N30+O30+P30+R30+Q30</f>
        <v>10</v>
      </c>
      <c r="G30" s="94"/>
      <c r="H30" s="5"/>
      <c r="I30" s="5"/>
      <c r="J30" s="4"/>
      <c r="K30" s="4"/>
      <c r="L30" s="4"/>
      <c r="M30" s="4"/>
      <c r="N30" s="4">
        <v>2</v>
      </c>
      <c r="O30" s="4">
        <v>2</v>
      </c>
      <c r="P30" s="4">
        <v>1</v>
      </c>
      <c r="Q30" s="4">
        <v>1</v>
      </c>
      <c r="R30" s="4">
        <v>4</v>
      </c>
    </row>
    <row r="31" spans="1:18" s="90" customFormat="1" ht="30" customHeight="1" thickBot="1" x14ac:dyDescent="0.4">
      <c r="A31" s="428" t="s">
        <v>92</v>
      </c>
      <c r="B31" s="346"/>
      <c r="C31" s="309"/>
      <c r="D31" s="309"/>
      <c r="E31" s="87"/>
      <c r="F31" s="88"/>
      <c r="G31" s="89"/>
      <c r="H31" s="78"/>
      <c r="I31" s="78"/>
      <c r="J31" s="5">
        <f t="shared" ref="J31:R31" si="5">SUM(J27:J30)</f>
        <v>10</v>
      </c>
      <c r="K31" s="5">
        <f t="shared" si="5"/>
        <v>12</v>
      </c>
      <c r="L31" s="5">
        <f t="shared" si="5"/>
        <v>12</v>
      </c>
      <c r="M31" s="5">
        <f t="shared" si="5"/>
        <v>14</v>
      </c>
      <c r="N31" s="5">
        <f t="shared" si="5"/>
        <v>18</v>
      </c>
      <c r="O31" s="5">
        <f t="shared" si="5"/>
        <v>18</v>
      </c>
      <c r="P31" s="5">
        <f t="shared" si="5"/>
        <v>10</v>
      </c>
      <c r="Q31" s="5">
        <f t="shared" si="5"/>
        <v>10</v>
      </c>
      <c r="R31" s="5">
        <f t="shared" si="5"/>
        <v>22</v>
      </c>
    </row>
    <row r="32" spans="1:18" s="7" customFormat="1" ht="30" customHeight="1" thickBot="1" x14ac:dyDescent="0.4">
      <c r="A32" s="81"/>
      <c r="B32" s="82"/>
      <c r="C32" s="469"/>
      <c r="D32" s="469"/>
      <c r="E32" s="469"/>
      <c r="F32" s="307"/>
      <c r="G32" s="470"/>
      <c r="H32" s="469"/>
      <c r="I32" s="469"/>
      <c r="J32" s="471"/>
      <c r="K32" s="471"/>
      <c r="L32" s="471"/>
      <c r="M32" s="471"/>
      <c r="N32" s="471"/>
      <c r="O32" s="471"/>
      <c r="P32" s="471"/>
      <c r="Q32" s="471"/>
      <c r="R32" s="86"/>
    </row>
    <row r="33" spans="1:18" s="7" customFormat="1" ht="30" customHeight="1" x14ac:dyDescent="0.35">
      <c r="A33" s="76" t="s">
        <v>80</v>
      </c>
      <c r="B33" s="77" t="s">
        <v>83</v>
      </c>
      <c r="C33" s="186"/>
      <c r="D33" s="186"/>
      <c r="E33" s="332" t="s">
        <v>94</v>
      </c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4"/>
    </row>
    <row r="34" spans="1:18" s="7" customFormat="1" ht="30" customHeight="1" x14ac:dyDescent="0.35">
      <c r="A34" s="122" t="s">
        <v>81</v>
      </c>
      <c r="B34" s="75" t="s">
        <v>82</v>
      </c>
      <c r="C34" s="275">
        <f>J34+K34+L34+M34+N34+O34+P34</f>
        <v>7</v>
      </c>
      <c r="D34" s="75"/>
      <c r="E34" s="95"/>
      <c r="F34" s="53"/>
      <c r="G34" s="75"/>
      <c r="H34" s="53"/>
      <c r="I34" s="53"/>
      <c r="J34" s="95">
        <v>1</v>
      </c>
      <c r="K34" s="95">
        <v>1</v>
      </c>
      <c r="L34" s="95">
        <v>1</v>
      </c>
      <c r="M34" s="95">
        <v>1</v>
      </c>
      <c r="N34" s="95">
        <v>1</v>
      </c>
      <c r="O34" s="95">
        <v>1</v>
      </c>
      <c r="P34" s="95">
        <v>1</v>
      </c>
      <c r="Q34" s="95"/>
      <c r="R34" s="96"/>
    </row>
    <row r="35" spans="1:18" s="7" customFormat="1" ht="30" customHeight="1" x14ac:dyDescent="0.35">
      <c r="A35" s="122" t="s">
        <v>84</v>
      </c>
      <c r="B35" s="75" t="s">
        <v>85</v>
      </c>
      <c r="C35" s="75">
        <f>C36+C37+C38</f>
        <v>2</v>
      </c>
      <c r="D35" s="75"/>
      <c r="E35" s="53"/>
      <c r="F35" s="53"/>
      <c r="G35" s="75"/>
      <c r="H35" s="53"/>
      <c r="I35" s="53"/>
      <c r="J35" s="95"/>
      <c r="K35" s="95"/>
      <c r="L35" s="95"/>
      <c r="M35" s="95"/>
      <c r="N35" s="95"/>
      <c r="O35" s="95"/>
      <c r="P35" s="95"/>
      <c r="Q35" s="95"/>
      <c r="R35" s="96">
        <v>2</v>
      </c>
    </row>
    <row r="36" spans="1:18" s="7" customFormat="1" ht="30" customHeight="1" x14ac:dyDescent="0.35">
      <c r="A36" s="122" t="s">
        <v>86</v>
      </c>
      <c r="B36" s="75" t="s">
        <v>117</v>
      </c>
      <c r="C36" s="75">
        <v>0.5</v>
      </c>
      <c r="D36" s="75"/>
      <c r="E36" s="53"/>
      <c r="F36" s="53"/>
      <c r="G36" s="75"/>
      <c r="H36" s="53"/>
      <c r="I36" s="53"/>
      <c r="J36" s="61"/>
      <c r="K36" s="61"/>
      <c r="L36" s="61"/>
      <c r="M36" s="61"/>
      <c r="N36" s="61"/>
      <c r="O36" s="61"/>
      <c r="P36" s="61"/>
      <c r="Q36" s="61"/>
      <c r="R36" s="62"/>
    </row>
    <row r="37" spans="1:18" s="7" customFormat="1" ht="30" customHeight="1" x14ac:dyDescent="0.35">
      <c r="A37" s="122" t="s">
        <v>87</v>
      </c>
      <c r="B37" s="75" t="s">
        <v>1</v>
      </c>
      <c r="C37" s="75">
        <v>0.5</v>
      </c>
      <c r="D37" s="75"/>
      <c r="E37" s="53"/>
      <c r="F37" s="53"/>
      <c r="G37" s="75"/>
      <c r="H37" s="53"/>
      <c r="I37" s="53"/>
      <c r="J37" s="61"/>
      <c r="K37" s="61"/>
      <c r="L37" s="61"/>
      <c r="M37" s="61"/>
      <c r="N37" s="61"/>
      <c r="O37" s="61"/>
      <c r="P37" s="61"/>
      <c r="Q37" s="61"/>
      <c r="R37" s="62"/>
    </row>
    <row r="38" spans="1:18" s="7" customFormat="1" ht="29.4" customHeight="1" thickBot="1" x14ac:dyDescent="0.4">
      <c r="A38" s="123" t="s">
        <v>88</v>
      </c>
      <c r="B38" s="100" t="s">
        <v>5</v>
      </c>
      <c r="C38" s="100">
        <v>1</v>
      </c>
      <c r="D38" s="100"/>
      <c r="E38" s="101"/>
      <c r="F38" s="101"/>
      <c r="G38" s="100"/>
      <c r="H38" s="101"/>
      <c r="I38" s="101"/>
      <c r="J38" s="91"/>
      <c r="K38" s="91"/>
      <c r="L38" s="91"/>
      <c r="M38" s="91"/>
      <c r="N38" s="91"/>
      <c r="O38" s="91"/>
      <c r="P38" s="91"/>
      <c r="Q38" s="91"/>
      <c r="R38" s="102"/>
    </row>
    <row r="39" spans="1:18" s="7" customFormat="1" ht="30" customHeight="1" thickBot="1" x14ac:dyDescent="0.4">
      <c r="A39" s="335" t="s">
        <v>93</v>
      </c>
      <c r="B39" s="336"/>
      <c r="C39" s="276">
        <v>8</v>
      </c>
      <c r="D39" s="312"/>
      <c r="E39" s="103"/>
      <c r="F39" s="104"/>
      <c r="G39" s="105"/>
      <c r="H39" s="104"/>
      <c r="I39" s="104"/>
      <c r="J39" s="106"/>
      <c r="K39" s="106"/>
      <c r="L39" s="106"/>
      <c r="M39" s="106"/>
      <c r="N39" s="106"/>
      <c r="O39" s="106"/>
      <c r="P39" s="106"/>
      <c r="Q39" s="106"/>
      <c r="R39" s="107"/>
    </row>
    <row r="40" spans="1:18" ht="40.200000000000003" customHeight="1" x14ac:dyDescent="0.3">
      <c r="A40" s="470"/>
      <c r="B40" s="472"/>
      <c r="C40" s="472"/>
      <c r="D40" s="472"/>
      <c r="E40" s="469"/>
      <c r="G40" s="471"/>
      <c r="H40" s="469"/>
      <c r="J40" s="471"/>
      <c r="K40" s="471"/>
      <c r="L40" s="471"/>
      <c r="M40" s="471"/>
      <c r="N40" s="471"/>
      <c r="O40" s="471"/>
      <c r="P40" s="469"/>
      <c r="Q40" s="469"/>
      <c r="R40" s="469"/>
    </row>
    <row r="41" spans="1:18" ht="40.200000000000003" customHeight="1" x14ac:dyDescent="0.3">
      <c r="A41" s="470"/>
      <c r="B41" s="472"/>
      <c r="C41" s="472"/>
      <c r="D41" s="472"/>
      <c r="E41" s="469"/>
      <c r="G41" s="471"/>
      <c r="H41" s="469"/>
      <c r="J41" s="471"/>
      <c r="K41" s="471"/>
      <c r="L41" s="471"/>
      <c r="M41" s="471"/>
      <c r="N41" s="471"/>
      <c r="O41" s="471"/>
      <c r="P41" s="469"/>
      <c r="Q41" s="469"/>
      <c r="R41" s="469"/>
    </row>
    <row r="42" spans="1:18" ht="40.200000000000003" customHeight="1" x14ac:dyDescent="0.3">
      <c r="A42" s="469"/>
      <c r="B42" s="473"/>
      <c r="C42" s="473"/>
      <c r="D42" s="473"/>
      <c r="E42" s="474"/>
      <c r="G42" s="474"/>
      <c r="H42" s="474"/>
      <c r="J42" s="474"/>
      <c r="K42" s="474"/>
      <c r="L42" s="474"/>
      <c r="M42" s="474"/>
      <c r="N42" s="474"/>
      <c r="O42" s="474"/>
      <c r="P42" s="474"/>
      <c r="Q42" s="474"/>
      <c r="R42" s="474"/>
    </row>
  </sheetData>
  <mergeCells count="36">
    <mergeCell ref="E33:R33"/>
    <mergeCell ref="A2:R2"/>
    <mergeCell ref="J3:R3"/>
    <mergeCell ref="J6:R6"/>
    <mergeCell ref="J8:R8"/>
    <mergeCell ref="J26:R26"/>
    <mergeCell ref="A39:B39"/>
    <mergeCell ref="E3:G3"/>
    <mergeCell ref="H3:I3"/>
    <mergeCell ref="A6:A7"/>
    <mergeCell ref="B6:B7"/>
    <mergeCell ref="E6:G7"/>
    <mergeCell ref="H6:H7"/>
    <mergeCell ref="I6:I7"/>
    <mergeCell ref="A31:B31"/>
    <mergeCell ref="A3:A4"/>
    <mergeCell ref="B3:B4"/>
    <mergeCell ref="E8:G8"/>
    <mergeCell ref="E9:G9"/>
    <mergeCell ref="E13:G13"/>
    <mergeCell ref="C6:C7"/>
    <mergeCell ref="D6:D7"/>
    <mergeCell ref="E26:G26"/>
    <mergeCell ref="A17:B17"/>
    <mergeCell ref="E17:G17"/>
    <mergeCell ref="E19:G19"/>
    <mergeCell ref="A23:B23"/>
    <mergeCell ref="E23:G23"/>
    <mergeCell ref="A19:B19"/>
    <mergeCell ref="A25:B25"/>
    <mergeCell ref="E25:G25"/>
    <mergeCell ref="E20:G20"/>
    <mergeCell ref="A24:B24"/>
    <mergeCell ref="A18:B18"/>
    <mergeCell ref="E18:G18"/>
    <mergeCell ref="E24:G24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63" fitToHeight="2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view="pageBreakPreview" topLeftCell="A29" zoomScale="70" zoomScaleNormal="100" zoomScaleSheetLayoutView="70" workbookViewId="0">
      <selection activeCell="B15" sqref="B15"/>
    </sheetView>
  </sheetViews>
  <sheetFormatPr defaultRowHeight="14.4" x14ac:dyDescent="0.3"/>
  <cols>
    <col min="1" max="1" width="19.5546875" customWidth="1"/>
    <col min="2" max="2" width="60.5546875" customWidth="1"/>
    <col min="3" max="4" width="10.33203125" customWidth="1"/>
    <col min="5" max="5" width="8" customWidth="1"/>
    <col min="6" max="6" width="8.88671875" customWidth="1"/>
    <col min="7" max="7" width="8.33203125" customWidth="1"/>
    <col min="8" max="8" width="10.109375" customWidth="1"/>
    <col min="9" max="9" width="8.6640625" customWidth="1"/>
    <col min="10" max="10" width="6.44140625" customWidth="1"/>
    <col min="11" max="11" width="6.109375" customWidth="1"/>
    <col min="12" max="12" width="6.44140625" customWidth="1"/>
    <col min="13" max="13" width="6.88671875" customWidth="1"/>
    <col min="14" max="14" width="7" customWidth="1"/>
    <col min="15" max="15" width="6.88671875" customWidth="1"/>
    <col min="16" max="16" width="6.33203125" customWidth="1"/>
    <col min="17" max="17" width="7.109375" customWidth="1"/>
  </cols>
  <sheetData>
    <row r="1" spans="1:17" s="29" customFormat="1" ht="27" customHeight="1" x14ac:dyDescent="0.4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8"/>
      <c r="Q1" s="28"/>
    </row>
    <row r="2" spans="1:17" ht="27.6" customHeight="1" thickBot="1" x14ac:dyDescent="0.35">
      <c r="A2" s="369" t="s">
        <v>145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64.2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  <c r="O3" s="376"/>
      <c r="P3" s="376"/>
      <c r="Q3" s="376"/>
    </row>
    <row r="4" spans="1:17" ht="88.95" customHeight="1" thickBot="1" x14ac:dyDescent="0.35">
      <c r="A4" s="372"/>
      <c r="B4" s="374"/>
      <c r="C4" s="188" t="s">
        <v>161</v>
      </c>
      <c r="D4" s="188" t="s">
        <v>161</v>
      </c>
      <c r="E4" s="42" t="s">
        <v>118</v>
      </c>
      <c r="F4" s="43" t="s">
        <v>48</v>
      </c>
      <c r="G4" s="42" t="s">
        <v>49</v>
      </c>
      <c r="H4" s="42" t="s">
        <v>162</v>
      </c>
      <c r="I4" s="43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  <c r="O4" s="42" t="s">
        <v>59</v>
      </c>
      <c r="P4" s="42" t="s">
        <v>60</v>
      </c>
      <c r="Q4" s="42" t="s">
        <v>90</v>
      </c>
    </row>
    <row r="5" spans="1:17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8">
        <v>17</v>
      </c>
    </row>
    <row r="6" spans="1:17" ht="19.2" customHeight="1" thickBot="1" x14ac:dyDescent="0.35">
      <c r="A6" s="384"/>
      <c r="B6" s="382" t="s">
        <v>43</v>
      </c>
      <c r="C6" s="382" t="s">
        <v>195</v>
      </c>
      <c r="D6" s="382" t="s">
        <v>194</v>
      </c>
      <c r="E6" s="386" t="s">
        <v>174</v>
      </c>
      <c r="F6" s="387"/>
      <c r="G6" s="388"/>
      <c r="H6" s="392"/>
      <c r="I6" s="392"/>
      <c r="J6" s="380" t="s">
        <v>52</v>
      </c>
      <c r="K6" s="381"/>
      <c r="L6" s="381"/>
      <c r="M6" s="381"/>
      <c r="N6" s="381"/>
      <c r="O6" s="381"/>
      <c r="P6" s="381"/>
      <c r="Q6" s="381"/>
    </row>
    <row r="7" spans="1:17" ht="19.2" customHeight="1" thickBot="1" x14ac:dyDescent="0.35">
      <c r="A7" s="385"/>
      <c r="B7" s="383"/>
      <c r="C7" s="383"/>
      <c r="D7" s="383"/>
      <c r="E7" s="389"/>
      <c r="F7" s="390"/>
      <c r="G7" s="391"/>
      <c r="H7" s="393"/>
      <c r="I7" s="393"/>
      <c r="J7" s="44">
        <v>32</v>
      </c>
      <c r="K7" s="44">
        <v>33</v>
      </c>
      <c r="L7" s="44">
        <v>33</v>
      </c>
      <c r="M7" s="44">
        <v>33</v>
      </c>
      <c r="N7" s="44">
        <v>33</v>
      </c>
      <c r="O7" s="44">
        <v>33</v>
      </c>
      <c r="P7" s="44">
        <v>33</v>
      </c>
      <c r="Q7" s="45">
        <v>33</v>
      </c>
    </row>
    <row r="8" spans="1:17" ht="30" customHeight="1" thickBot="1" x14ac:dyDescent="0.35">
      <c r="A8" s="3"/>
      <c r="B8" s="99" t="s">
        <v>44</v>
      </c>
      <c r="C8" s="139">
        <f>C19+C29</f>
        <v>4025.5</v>
      </c>
      <c r="D8" s="163">
        <f>D9+D14</f>
        <v>2090.5</v>
      </c>
      <c r="E8" s="342">
        <f>E18+E29</f>
        <v>1935</v>
      </c>
      <c r="F8" s="345"/>
      <c r="G8" s="346"/>
      <c r="H8" s="176"/>
      <c r="I8" s="177"/>
      <c r="J8" s="330" t="s">
        <v>51</v>
      </c>
      <c r="K8" s="331"/>
      <c r="L8" s="331"/>
      <c r="M8" s="331"/>
      <c r="N8" s="331"/>
      <c r="O8" s="331"/>
      <c r="P8" s="331"/>
      <c r="Q8" s="331"/>
    </row>
    <row r="9" spans="1:17" ht="30" customHeight="1" thickBot="1" x14ac:dyDescent="0.35">
      <c r="A9" s="113" t="s">
        <v>45</v>
      </c>
      <c r="B9" s="113" t="s">
        <v>12</v>
      </c>
      <c r="C9" s="161">
        <f>C10+C11+C12+C13</f>
        <v>2732.5</v>
      </c>
      <c r="D9" s="170">
        <f>D10+D11+D12+D13</f>
        <v>1613.5</v>
      </c>
      <c r="E9" s="342">
        <f>E13+F11+G10+G12</f>
        <v>1119</v>
      </c>
      <c r="F9" s="345"/>
      <c r="G9" s="346"/>
      <c r="H9" s="178"/>
      <c r="I9" s="178"/>
      <c r="J9" s="1"/>
      <c r="K9" s="1"/>
      <c r="L9" s="1"/>
      <c r="M9" s="1"/>
      <c r="N9" s="1"/>
      <c r="O9" s="1"/>
      <c r="P9" s="1"/>
      <c r="Q9" s="1"/>
    </row>
    <row r="10" spans="1:17" s="7" customFormat="1" ht="30" customHeight="1" thickBot="1" x14ac:dyDescent="0.4">
      <c r="A10" s="6" t="s">
        <v>61</v>
      </c>
      <c r="B10" s="25" t="s">
        <v>13</v>
      </c>
      <c r="C10" s="192">
        <f>D10+E10+F10+G10</f>
        <v>1777</v>
      </c>
      <c r="D10" s="190">
        <f>3*J7+3*K7+4*L7+4*M7+5*N7+5*O7+6*P7+6*Q7</f>
        <v>1185</v>
      </c>
      <c r="E10" s="234"/>
      <c r="F10" s="234"/>
      <c r="G10" s="193">
        <f>J10*J7+K10*K7+L10*L7+M10*M7+N10*N7+O10*O7+P10*P7+Q10*Q7</f>
        <v>592</v>
      </c>
      <c r="H10" s="179" t="s">
        <v>123</v>
      </c>
      <c r="I10" s="179" t="s">
        <v>17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2.5</v>
      </c>
      <c r="P10" s="26">
        <v>2.5</v>
      </c>
      <c r="Q10" s="26">
        <v>3</v>
      </c>
    </row>
    <row r="11" spans="1:17" s="7" customFormat="1" ht="30" customHeight="1" thickBot="1" x14ac:dyDescent="0.4">
      <c r="A11" s="6" t="s">
        <v>62</v>
      </c>
      <c r="B11" s="25" t="s">
        <v>19</v>
      </c>
      <c r="C11" s="192">
        <f t="shared" ref="C11:C13" si="0">D11+E11+F11+G11</f>
        <v>330</v>
      </c>
      <c r="D11" s="191">
        <f>1.5*L7+1.5*M7+1.5*N7+1.5*O7</f>
        <v>198</v>
      </c>
      <c r="E11" s="234"/>
      <c r="F11" s="234">
        <f>M11*M7+N11*N7+O11*O7+L11*L7</f>
        <v>132</v>
      </c>
      <c r="G11" s="193"/>
      <c r="H11" s="179" t="s">
        <v>127</v>
      </c>
      <c r="I11" s="180"/>
      <c r="J11" s="26"/>
      <c r="K11" s="26"/>
      <c r="L11" s="26">
        <v>1</v>
      </c>
      <c r="M11" s="26">
        <v>1</v>
      </c>
      <c r="N11" s="26">
        <v>1</v>
      </c>
      <c r="O11" s="26">
        <v>1</v>
      </c>
      <c r="P11" s="26"/>
      <c r="Q11" s="26"/>
    </row>
    <row r="12" spans="1:17" s="7" customFormat="1" ht="30" customHeight="1" thickBot="1" x14ac:dyDescent="0.4">
      <c r="A12" s="6" t="s">
        <v>63</v>
      </c>
      <c r="B12" s="25" t="s">
        <v>14</v>
      </c>
      <c r="C12" s="192">
        <f t="shared" si="0"/>
        <v>148.5</v>
      </c>
      <c r="D12" s="191">
        <f>1.5*Q7+1.5*P7</f>
        <v>99</v>
      </c>
      <c r="E12" s="234"/>
      <c r="F12" s="234"/>
      <c r="G12" s="193">
        <f>P12*P7+Q12*Q7</f>
        <v>49.5</v>
      </c>
      <c r="H12" s="179" t="s">
        <v>185</v>
      </c>
      <c r="I12" s="180"/>
      <c r="J12" s="26"/>
      <c r="K12" s="26"/>
      <c r="L12" s="26"/>
      <c r="M12" s="26"/>
      <c r="N12" s="4"/>
      <c r="O12" s="26"/>
      <c r="P12" s="26">
        <v>0.5</v>
      </c>
      <c r="Q12" s="26">
        <v>1</v>
      </c>
    </row>
    <row r="13" spans="1:17" s="7" customFormat="1" ht="30" customHeight="1" thickBot="1" x14ac:dyDescent="0.4">
      <c r="A13" s="6" t="s">
        <v>64</v>
      </c>
      <c r="B13" s="27" t="s">
        <v>15</v>
      </c>
      <c r="C13" s="288">
        <f t="shared" si="0"/>
        <v>477</v>
      </c>
      <c r="D13" s="191">
        <f>0.5*J7+0.5*K7+0.5*L7+0.5*M7+0.5*N7+0.5*O7+0.5*P7+0.5*Q7</f>
        <v>131.5</v>
      </c>
      <c r="E13" s="193">
        <f>J13*J7+K13*K7+L13*L7+M13*M7+N13*N7+O13*O7+P13*P7+Q13*Q7</f>
        <v>345.5</v>
      </c>
      <c r="F13" s="234"/>
      <c r="G13" s="193"/>
      <c r="H13" s="179" t="s">
        <v>16</v>
      </c>
      <c r="I13" s="180"/>
      <c r="J13" s="26">
        <v>1</v>
      </c>
      <c r="K13" s="26">
        <v>1</v>
      </c>
      <c r="L13" s="26">
        <v>1</v>
      </c>
      <c r="M13" s="26">
        <v>1.5</v>
      </c>
      <c r="N13" s="26">
        <v>1.5</v>
      </c>
      <c r="O13" s="26">
        <v>1.5</v>
      </c>
      <c r="P13" s="26">
        <v>1.5</v>
      </c>
      <c r="Q13" s="26">
        <v>1.5</v>
      </c>
    </row>
    <row r="14" spans="1:17" ht="30" customHeight="1" thickBot="1" x14ac:dyDescent="0.35">
      <c r="A14" s="113" t="s">
        <v>65</v>
      </c>
      <c r="B14" s="113" t="s">
        <v>0</v>
      </c>
      <c r="C14" s="166">
        <f>C15+C16+C17</f>
        <v>1135</v>
      </c>
      <c r="D14" s="164">
        <f>D15+D16+D17</f>
        <v>477</v>
      </c>
      <c r="E14" s="339">
        <f>F15+F16+F17</f>
        <v>658</v>
      </c>
      <c r="F14" s="340"/>
      <c r="G14" s="341"/>
      <c r="H14" s="178"/>
      <c r="I14" s="178"/>
      <c r="J14" s="1"/>
      <c r="K14" s="1"/>
      <c r="L14" s="1"/>
      <c r="M14" s="1"/>
      <c r="N14" s="1"/>
      <c r="O14" s="1"/>
      <c r="P14" s="1"/>
      <c r="Q14" s="1"/>
    </row>
    <row r="15" spans="1:17" s="7" customFormat="1" ht="30" customHeight="1" thickBot="1" x14ac:dyDescent="0.4">
      <c r="A15" s="6" t="s">
        <v>66</v>
      </c>
      <c r="B15" s="112" t="s">
        <v>1</v>
      </c>
      <c r="C15" s="193">
        <f>D15+E15+F15+G15</f>
        <v>641.5</v>
      </c>
      <c r="D15" s="169">
        <f>1*J7+1*K7+1*L7+1*M7+1*N7+1*O7+1*P7+1*Q7</f>
        <v>263</v>
      </c>
      <c r="E15" s="193"/>
      <c r="F15" s="193">
        <f>J15*J7+K15*K7+L15*L7+M15*M7+N15*N7+O15*O7+P15*P7+Q15*Q7</f>
        <v>378.5</v>
      </c>
      <c r="G15" s="193"/>
      <c r="H15" s="179" t="s">
        <v>124</v>
      </c>
      <c r="I15" s="181">
        <v>12</v>
      </c>
      <c r="J15" s="26">
        <v>1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  <c r="P15" s="26">
        <v>1.5</v>
      </c>
      <c r="Q15" s="26">
        <v>1.5</v>
      </c>
    </row>
    <row r="16" spans="1:17" s="7" customFormat="1" ht="30" customHeight="1" thickBot="1" x14ac:dyDescent="0.4">
      <c r="A16" s="6" t="s">
        <v>67</v>
      </c>
      <c r="B16" s="112" t="s">
        <v>18</v>
      </c>
      <c r="C16" s="193">
        <f t="shared" ref="C16:C17" si="1">D16+E16+F16+G16</f>
        <v>147</v>
      </c>
      <c r="D16" s="169">
        <f>0.5*J7+0.5*K7+0.5*L7</f>
        <v>49</v>
      </c>
      <c r="E16" s="193"/>
      <c r="F16" s="193">
        <f>J16*J7+K16*K7+L16*L7</f>
        <v>98</v>
      </c>
      <c r="G16" s="193"/>
      <c r="H16" s="181">
        <v>6</v>
      </c>
      <c r="I16" s="181"/>
      <c r="J16" s="26">
        <v>1</v>
      </c>
      <c r="K16" s="26">
        <v>1</v>
      </c>
      <c r="L16" s="26">
        <v>1</v>
      </c>
      <c r="M16" s="26"/>
      <c r="N16" s="26"/>
      <c r="O16" s="26"/>
      <c r="P16" s="26"/>
      <c r="Q16" s="26"/>
    </row>
    <row r="17" spans="1:17" s="7" customFormat="1" ht="30" customHeight="1" thickBot="1" x14ac:dyDescent="0.4">
      <c r="A17" s="6" t="s">
        <v>68</v>
      </c>
      <c r="B17" s="41" t="s">
        <v>41</v>
      </c>
      <c r="C17" s="193">
        <f t="shared" si="1"/>
        <v>346.5</v>
      </c>
      <c r="D17" s="169">
        <f>1*M7+1*N7+1*O7+1*P7+1*Q7</f>
        <v>165</v>
      </c>
      <c r="E17" s="193"/>
      <c r="F17" s="193">
        <f>M17*M7+N17*N7+O17*O7+P17*P7+Q17*Q7</f>
        <v>181.5</v>
      </c>
      <c r="G17" s="193"/>
      <c r="H17" s="179" t="s">
        <v>125</v>
      </c>
      <c r="I17" s="181">
        <v>14</v>
      </c>
      <c r="J17" s="26"/>
      <c r="K17" s="26"/>
      <c r="L17" s="26"/>
      <c r="M17" s="26">
        <v>1</v>
      </c>
      <c r="N17" s="26">
        <v>1</v>
      </c>
      <c r="O17" s="26">
        <v>1</v>
      </c>
      <c r="P17" s="26">
        <v>1</v>
      </c>
      <c r="Q17" s="26">
        <v>1.5</v>
      </c>
    </row>
    <row r="18" spans="1:17" s="7" customFormat="1" ht="30" customHeight="1" thickBot="1" x14ac:dyDescent="0.4">
      <c r="A18" s="337" t="s">
        <v>167</v>
      </c>
      <c r="B18" s="338"/>
      <c r="C18" s="139"/>
      <c r="D18" s="162"/>
      <c r="E18" s="342">
        <f>E14+E9</f>
        <v>1777</v>
      </c>
      <c r="F18" s="343"/>
      <c r="G18" s="344"/>
      <c r="H18" s="179"/>
      <c r="I18" s="181"/>
      <c r="J18" s="50">
        <f>SUM(J10:J17)</f>
        <v>5</v>
      </c>
      <c r="K18" s="50">
        <f t="shared" ref="K18:Q18" si="2">SUM(K10:K17)</f>
        <v>5.5</v>
      </c>
      <c r="L18" s="50">
        <f t="shared" si="2"/>
        <v>6.5</v>
      </c>
      <c r="M18" s="50">
        <f t="shared" si="2"/>
        <v>7</v>
      </c>
      <c r="N18" s="50">
        <f t="shared" si="2"/>
        <v>7</v>
      </c>
      <c r="O18" s="50">
        <f t="shared" si="2"/>
        <v>7.5</v>
      </c>
      <c r="P18" s="50">
        <f t="shared" si="2"/>
        <v>7</v>
      </c>
      <c r="Q18" s="50">
        <f t="shared" si="2"/>
        <v>8.5</v>
      </c>
    </row>
    <row r="19" spans="1:17" s="202" customFormat="1" ht="30" customHeight="1" thickBot="1" x14ac:dyDescent="0.35">
      <c r="A19" s="396" t="s">
        <v>166</v>
      </c>
      <c r="B19" s="397"/>
      <c r="C19" s="203">
        <f>E19+D19</f>
        <v>3867.5</v>
      </c>
      <c r="D19" s="3">
        <f>D14+D9</f>
        <v>2090.5</v>
      </c>
      <c r="E19" s="398">
        <f>E18</f>
        <v>1777</v>
      </c>
      <c r="F19" s="399"/>
      <c r="G19" s="400"/>
      <c r="H19" s="39"/>
      <c r="I19" s="40"/>
      <c r="J19" s="201">
        <f>J18+5</f>
        <v>10</v>
      </c>
      <c r="K19" s="201">
        <f>K18+5</f>
        <v>10.5</v>
      </c>
      <c r="L19" s="201">
        <f>L18+7.5</f>
        <v>14</v>
      </c>
      <c r="M19" s="201">
        <f>M18+8</f>
        <v>15</v>
      </c>
      <c r="N19" s="201">
        <f>N18+9</f>
        <v>16</v>
      </c>
      <c r="O19" s="201">
        <f>O18+9</f>
        <v>16.5</v>
      </c>
      <c r="P19" s="201">
        <f>P18+10</f>
        <v>17</v>
      </c>
      <c r="Q19" s="201">
        <f>Q18+10</f>
        <v>18.5</v>
      </c>
    </row>
    <row r="20" spans="1:17" s="204" customFormat="1" ht="30" customHeight="1" thickBot="1" x14ac:dyDescent="0.35">
      <c r="A20" s="352" t="s">
        <v>168</v>
      </c>
      <c r="B20" s="353"/>
      <c r="C20" s="401"/>
      <c r="D20" s="402"/>
      <c r="E20" s="356"/>
      <c r="F20" s="357"/>
      <c r="G20" s="358"/>
      <c r="H20" s="132">
        <v>32</v>
      </c>
      <c r="I20" s="132">
        <v>9</v>
      </c>
      <c r="J20" s="132"/>
      <c r="K20" s="132"/>
      <c r="L20" s="132"/>
      <c r="M20" s="132"/>
      <c r="N20" s="132"/>
      <c r="O20" s="132"/>
      <c r="P20" s="132"/>
      <c r="Q20" s="132"/>
    </row>
    <row r="21" spans="1:17" ht="30" customHeight="1" thickBot="1" x14ac:dyDescent="0.35">
      <c r="A21" s="114" t="s">
        <v>70</v>
      </c>
      <c r="B21" s="98" t="s">
        <v>2</v>
      </c>
      <c r="C21" s="170">
        <f>C22+C23+C24+C25</f>
        <v>198</v>
      </c>
      <c r="D21" s="170">
        <f>D23+D24+D25</f>
        <v>49.5</v>
      </c>
      <c r="E21" s="342">
        <f>F22+F24+F23+F25+G25</f>
        <v>148.5</v>
      </c>
      <c r="F21" s="345"/>
      <c r="G21" s="346"/>
      <c r="H21" s="178"/>
      <c r="I21" s="178"/>
      <c r="J21" s="1"/>
      <c r="K21" s="1"/>
      <c r="L21" s="1"/>
      <c r="M21" s="1"/>
      <c r="N21" s="1"/>
      <c r="O21" s="1"/>
      <c r="P21" s="1"/>
      <c r="Q21" s="1"/>
    </row>
    <row r="22" spans="1:17" s="7" customFormat="1" ht="30" customHeight="1" thickBot="1" x14ac:dyDescent="0.4">
      <c r="A22" s="6" t="s">
        <v>155</v>
      </c>
      <c r="B22" s="37" t="s">
        <v>119</v>
      </c>
      <c r="C22" s="169">
        <f>E22+F22+G22</f>
        <v>99</v>
      </c>
      <c r="D22" s="195" t="s">
        <v>163</v>
      </c>
      <c r="E22" s="195"/>
      <c r="F22" s="226">
        <f>K22*K7+L22*L7+M22*M7+N22*N7+O22*O7+P22*P7</f>
        <v>99</v>
      </c>
      <c r="G22" s="226"/>
      <c r="H22" s="181"/>
      <c r="I22" s="178"/>
      <c r="J22" s="2"/>
      <c r="K22" s="4">
        <v>0.5</v>
      </c>
      <c r="L22" s="4">
        <v>0.5</v>
      </c>
      <c r="M22" s="4">
        <v>0.5</v>
      </c>
      <c r="N22" s="4">
        <v>0.5</v>
      </c>
      <c r="O22" s="4">
        <v>0.5</v>
      </c>
      <c r="P22" s="4">
        <v>0.5</v>
      </c>
      <c r="Q22" s="4"/>
    </row>
    <row r="23" spans="1:17" s="7" customFormat="1" ht="30" customHeight="1" thickBot="1" x14ac:dyDescent="0.4">
      <c r="A23" s="6" t="s">
        <v>156</v>
      </c>
      <c r="B23" s="37" t="s">
        <v>3</v>
      </c>
      <c r="C23" s="169">
        <f>D23+E23+F23+G23</f>
        <v>33</v>
      </c>
      <c r="D23" s="169">
        <v>16.5</v>
      </c>
      <c r="E23" s="195"/>
      <c r="F23" s="226">
        <f>Q23*Q7</f>
        <v>16.5</v>
      </c>
      <c r="G23" s="226"/>
      <c r="H23" s="40">
        <v>16</v>
      </c>
      <c r="I23" s="178"/>
      <c r="J23" s="2"/>
      <c r="K23" s="4"/>
      <c r="L23" s="4"/>
      <c r="M23" s="4"/>
      <c r="N23" s="4"/>
      <c r="O23" s="4"/>
      <c r="P23" s="4"/>
      <c r="Q23" s="4">
        <v>0.5</v>
      </c>
    </row>
    <row r="24" spans="1:17" s="7" customFormat="1" ht="30" customHeight="1" thickBot="1" x14ac:dyDescent="0.4">
      <c r="A24" s="6" t="s">
        <v>157</v>
      </c>
      <c r="B24" s="41" t="s">
        <v>19</v>
      </c>
      <c r="C24" s="196">
        <f>D24+E24+F24+G24</f>
        <v>33</v>
      </c>
      <c r="D24" s="169">
        <v>16.5</v>
      </c>
      <c r="E24" s="226"/>
      <c r="F24" s="226">
        <f>K24*K7+L24*L7</f>
        <v>16.5</v>
      </c>
      <c r="G24" s="189"/>
      <c r="H24" s="1">
        <v>4</v>
      </c>
      <c r="I24" s="178"/>
      <c r="J24" s="41"/>
      <c r="K24" s="4">
        <v>0.5</v>
      </c>
      <c r="L24" s="4"/>
      <c r="M24" s="4"/>
      <c r="N24" s="4"/>
      <c r="O24" s="4"/>
      <c r="P24" s="4"/>
      <c r="Q24" s="4"/>
    </row>
    <row r="25" spans="1:17" s="7" customFormat="1" ht="30" customHeight="1" thickBot="1" x14ac:dyDescent="0.4">
      <c r="A25" s="6" t="s">
        <v>71</v>
      </c>
      <c r="B25" s="41" t="s">
        <v>14</v>
      </c>
      <c r="C25" s="196">
        <f>D25+E25+F25+G25</f>
        <v>33</v>
      </c>
      <c r="D25" s="197">
        <v>16.5</v>
      </c>
      <c r="E25" s="226"/>
      <c r="F25" s="226"/>
      <c r="G25" s="287">
        <f>Q25*Q7+P25*P7</f>
        <v>16.5</v>
      </c>
      <c r="H25" s="1">
        <v>13</v>
      </c>
      <c r="I25" s="2"/>
      <c r="J25" s="41"/>
      <c r="K25" s="4"/>
      <c r="L25" s="4"/>
      <c r="M25" s="4"/>
      <c r="N25" s="4"/>
      <c r="O25" s="4"/>
      <c r="P25" s="4">
        <v>0.5</v>
      </c>
      <c r="Q25" s="4"/>
    </row>
    <row r="26" spans="1:17" s="7" customFormat="1" ht="34.950000000000003" customHeight="1" thickBot="1" x14ac:dyDescent="0.4">
      <c r="A26" s="347" t="s">
        <v>72</v>
      </c>
      <c r="B26" s="348"/>
      <c r="C26" s="198"/>
      <c r="D26" s="151"/>
      <c r="E26" s="349">
        <f>E18+E21</f>
        <v>1925.5</v>
      </c>
      <c r="F26" s="350"/>
      <c r="G26" s="351"/>
      <c r="H26" s="71"/>
      <c r="I26" s="71"/>
      <c r="J26" s="199">
        <f>SUM(J10:J13,J15:J17,J22:J25)</f>
        <v>5</v>
      </c>
      <c r="K26" s="199">
        <f t="shared" ref="K26:Q26" si="3">SUM(K10:K13,K15:K17,K22:K25)</f>
        <v>6.5</v>
      </c>
      <c r="L26" s="199">
        <f t="shared" si="3"/>
        <v>7</v>
      </c>
      <c r="M26" s="199">
        <f t="shared" si="3"/>
        <v>7.5</v>
      </c>
      <c r="N26" s="199">
        <f t="shared" si="3"/>
        <v>7.5</v>
      </c>
      <c r="O26" s="199">
        <f t="shared" si="3"/>
        <v>8</v>
      </c>
      <c r="P26" s="199">
        <f t="shared" si="3"/>
        <v>8</v>
      </c>
      <c r="Q26" s="199">
        <f t="shared" si="3"/>
        <v>9</v>
      </c>
    </row>
    <row r="27" spans="1:17" s="7" customFormat="1" ht="34.950000000000003" customHeight="1" thickBot="1" x14ac:dyDescent="0.4">
      <c r="A27" s="394" t="s">
        <v>165</v>
      </c>
      <c r="B27" s="395"/>
      <c r="C27" s="125">
        <f>C19+C21</f>
        <v>4065.5</v>
      </c>
      <c r="D27" s="200">
        <f>D19+D21</f>
        <v>2140</v>
      </c>
      <c r="E27" s="349">
        <f>E26</f>
        <v>1925.5</v>
      </c>
      <c r="F27" s="350"/>
      <c r="G27" s="351"/>
      <c r="H27" s="169"/>
      <c r="I27" s="169"/>
      <c r="J27" s="125">
        <f>J19+J22+J23+J24+J25</f>
        <v>10</v>
      </c>
      <c r="K27" s="125">
        <f t="shared" ref="K27:Q27" si="4">K19+K22+K23+K24+K25</f>
        <v>11.5</v>
      </c>
      <c r="L27" s="125">
        <f t="shared" si="4"/>
        <v>14.5</v>
      </c>
      <c r="M27" s="125">
        <f t="shared" si="4"/>
        <v>15.5</v>
      </c>
      <c r="N27" s="125">
        <f t="shared" si="4"/>
        <v>16.5</v>
      </c>
      <c r="O27" s="125">
        <f t="shared" si="4"/>
        <v>17</v>
      </c>
      <c r="P27" s="125">
        <f t="shared" si="4"/>
        <v>18</v>
      </c>
      <c r="Q27" s="125">
        <f t="shared" si="4"/>
        <v>19</v>
      </c>
    </row>
    <row r="28" spans="1:17" s="7" customFormat="1" ht="34.950000000000003" customHeight="1" thickBot="1" x14ac:dyDescent="0.4">
      <c r="A28" s="354" t="s">
        <v>169</v>
      </c>
      <c r="B28" s="355"/>
      <c r="C28" s="367"/>
      <c r="D28" s="368"/>
      <c r="E28" s="359"/>
      <c r="F28" s="360"/>
      <c r="G28" s="361"/>
      <c r="H28" s="79">
        <v>35</v>
      </c>
      <c r="I28" s="79">
        <v>9</v>
      </c>
      <c r="J28" s="80"/>
      <c r="K28" s="80"/>
      <c r="L28" s="80"/>
      <c r="M28" s="80"/>
      <c r="N28" s="80"/>
      <c r="O28" s="80"/>
      <c r="P28" s="80"/>
      <c r="Q28" s="80"/>
    </row>
    <row r="29" spans="1:17" s="7" customFormat="1" ht="27.6" customHeight="1" thickTop="1" thickBot="1" x14ac:dyDescent="0.4">
      <c r="A29" s="73" t="s">
        <v>73</v>
      </c>
      <c r="B29" s="97" t="s">
        <v>74</v>
      </c>
      <c r="C29" s="205">
        <f>E29</f>
        <v>158</v>
      </c>
      <c r="D29" s="183" t="s">
        <v>163</v>
      </c>
      <c r="E29" s="362">
        <f>E32+F34+F33+F31+G30+F35</f>
        <v>158</v>
      </c>
      <c r="F29" s="363"/>
      <c r="G29" s="364"/>
      <c r="H29" s="74"/>
      <c r="I29" s="74"/>
      <c r="J29" s="330" t="s">
        <v>91</v>
      </c>
      <c r="K29" s="331"/>
      <c r="L29" s="331"/>
      <c r="M29" s="331"/>
      <c r="N29" s="331"/>
      <c r="O29" s="331"/>
      <c r="P29" s="331"/>
      <c r="Q29" s="331"/>
    </row>
    <row r="30" spans="1:17" s="7" customFormat="1" ht="30" customHeight="1" thickBot="1" x14ac:dyDescent="0.4">
      <c r="A30" s="6" t="s">
        <v>75</v>
      </c>
      <c r="B30" s="69" t="s">
        <v>7</v>
      </c>
      <c r="C30" s="124"/>
      <c r="D30" s="124"/>
      <c r="E30" s="193"/>
      <c r="F30" s="193"/>
      <c r="G30" s="193">
        <f>J30+K30+L30+M30+N30+O30+P30+Q30</f>
        <v>76</v>
      </c>
      <c r="H30" s="5"/>
      <c r="I30" s="5"/>
      <c r="J30" s="4">
        <v>6</v>
      </c>
      <c r="K30" s="4">
        <v>8</v>
      </c>
      <c r="L30" s="4">
        <v>8</v>
      </c>
      <c r="M30" s="4">
        <v>10</v>
      </c>
      <c r="N30" s="4">
        <v>10</v>
      </c>
      <c r="O30" s="4">
        <v>10</v>
      </c>
      <c r="P30" s="4">
        <v>12</v>
      </c>
      <c r="Q30" s="4">
        <v>12</v>
      </c>
    </row>
    <row r="31" spans="1:17" s="7" customFormat="1" ht="30" customHeight="1" thickBot="1" x14ac:dyDescent="0.4">
      <c r="A31" s="6" t="s">
        <v>76</v>
      </c>
      <c r="B31" s="69" t="s">
        <v>95</v>
      </c>
      <c r="C31" s="124"/>
      <c r="D31" s="124"/>
      <c r="E31" s="193"/>
      <c r="F31" s="193">
        <f>K31+L31+M31+N31+O31+P31+Q31</f>
        <v>16</v>
      </c>
      <c r="G31" s="193"/>
      <c r="H31" s="5"/>
      <c r="I31" s="5"/>
      <c r="J31" s="4"/>
      <c r="K31" s="4"/>
      <c r="L31" s="4">
        <v>4</v>
      </c>
      <c r="M31" s="4">
        <v>4</v>
      </c>
      <c r="N31" s="4">
        <v>4</v>
      </c>
      <c r="O31" s="4">
        <v>4</v>
      </c>
      <c r="P31" s="4"/>
      <c r="Q31" s="4"/>
    </row>
    <row r="32" spans="1:17" s="7" customFormat="1" ht="30" customHeight="1" thickBot="1" x14ac:dyDescent="0.4">
      <c r="A32" s="6" t="s">
        <v>77</v>
      </c>
      <c r="B32" s="69" t="s">
        <v>96</v>
      </c>
      <c r="C32" s="124"/>
      <c r="D32" s="124"/>
      <c r="E32" s="193">
        <f>J32+K32+L32+M32+N32+O32+P32+Q32</f>
        <v>26</v>
      </c>
      <c r="F32" s="193"/>
      <c r="G32" s="193"/>
      <c r="H32" s="5"/>
      <c r="I32" s="5"/>
      <c r="J32" s="4">
        <v>2</v>
      </c>
      <c r="K32" s="4">
        <v>2</v>
      </c>
      <c r="L32" s="4">
        <v>2</v>
      </c>
      <c r="M32" s="4">
        <v>4</v>
      </c>
      <c r="N32" s="4">
        <v>4</v>
      </c>
      <c r="O32" s="4">
        <v>4</v>
      </c>
      <c r="P32" s="4">
        <v>4</v>
      </c>
      <c r="Q32" s="4">
        <v>4</v>
      </c>
    </row>
    <row r="33" spans="1:17" s="7" customFormat="1" ht="30" customHeight="1" thickBot="1" x14ac:dyDescent="0.4">
      <c r="A33" s="6" t="s">
        <v>78</v>
      </c>
      <c r="B33" s="69" t="s">
        <v>97</v>
      </c>
      <c r="C33" s="124"/>
      <c r="D33" s="124"/>
      <c r="E33" s="193"/>
      <c r="F33" s="193">
        <f>J33+K33+L33+M33+N33+O33+P33+Q33</f>
        <v>8</v>
      </c>
      <c r="G33" s="193"/>
      <c r="H33" s="5"/>
      <c r="I33" s="5"/>
      <c r="J33" s="4"/>
      <c r="K33" s="4"/>
      <c r="L33" s="4"/>
      <c r="M33" s="4"/>
      <c r="N33" s="4"/>
      <c r="O33" s="4"/>
      <c r="P33" s="4">
        <v>4</v>
      </c>
      <c r="Q33" s="4">
        <v>4</v>
      </c>
    </row>
    <row r="34" spans="1:17" s="7" customFormat="1" ht="30" customHeight="1" thickBot="1" x14ac:dyDescent="0.4">
      <c r="A34" s="6" t="s">
        <v>79</v>
      </c>
      <c r="B34" s="69" t="s">
        <v>1</v>
      </c>
      <c r="C34" s="124"/>
      <c r="D34" s="124"/>
      <c r="E34" s="193"/>
      <c r="F34" s="193">
        <f>K34+L34+M34+N34+O34+P34+Q34</f>
        <v>22</v>
      </c>
      <c r="G34" s="193"/>
      <c r="H34" s="5"/>
      <c r="I34" s="5"/>
      <c r="J34" s="4"/>
      <c r="K34" s="4">
        <v>2</v>
      </c>
      <c r="L34" s="4">
        <v>2</v>
      </c>
      <c r="M34" s="4">
        <v>2</v>
      </c>
      <c r="N34" s="4">
        <v>4</v>
      </c>
      <c r="O34" s="4">
        <v>4</v>
      </c>
      <c r="P34" s="4">
        <v>4</v>
      </c>
      <c r="Q34" s="4">
        <v>4</v>
      </c>
    </row>
    <row r="35" spans="1:17" s="7" customFormat="1" ht="30" customHeight="1" thickBot="1" x14ac:dyDescent="0.4">
      <c r="A35" s="6" t="s">
        <v>110</v>
      </c>
      <c r="B35" s="124" t="s">
        <v>98</v>
      </c>
      <c r="C35" s="124"/>
      <c r="D35" s="124"/>
      <c r="E35" s="235"/>
      <c r="F35" s="93">
        <f>K35+L35+M35+N35+O35+P35+Q35</f>
        <v>10</v>
      </c>
      <c r="G35" s="236"/>
      <c r="H35" s="125"/>
      <c r="I35" s="5"/>
      <c r="J35" s="4"/>
      <c r="K35" s="4"/>
      <c r="L35" s="4"/>
      <c r="M35" s="4"/>
      <c r="N35" s="4">
        <v>2</v>
      </c>
      <c r="O35" s="4">
        <v>2</v>
      </c>
      <c r="P35" s="4">
        <v>2</v>
      </c>
      <c r="Q35" s="4">
        <v>4</v>
      </c>
    </row>
    <row r="36" spans="1:17" s="90" customFormat="1" ht="30" customHeight="1" thickBot="1" x14ac:dyDescent="0.4">
      <c r="A36" s="365" t="s">
        <v>148</v>
      </c>
      <c r="B36" s="366"/>
      <c r="C36" s="185"/>
      <c r="D36" s="185"/>
      <c r="E36" s="87"/>
      <c r="F36" s="88"/>
      <c r="G36" s="89"/>
      <c r="H36" s="78"/>
      <c r="I36" s="78"/>
      <c r="J36" s="5">
        <f>SUM(J30:J35)</f>
        <v>8</v>
      </c>
      <c r="K36" s="5">
        <f t="shared" ref="K36:Q36" si="5">SUM(K30:K35)</f>
        <v>12</v>
      </c>
      <c r="L36" s="5">
        <f t="shared" si="5"/>
        <v>16</v>
      </c>
      <c r="M36" s="5">
        <f t="shared" si="5"/>
        <v>20</v>
      </c>
      <c r="N36" s="5">
        <f t="shared" si="5"/>
        <v>24</v>
      </c>
      <c r="O36" s="5">
        <f t="shared" si="5"/>
        <v>24</v>
      </c>
      <c r="P36" s="5">
        <f t="shared" si="5"/>
        <v>26</v>
      </c>
      <c r="Q36" s="5">
        <f t="shared" si="5"/>
        <v>28</v>
      </c>
    </row>
    <row r="37" spans="1:17" s="7" customFormat="1" ht="30" customHeight="1" thickBot="1" x14ac:dyDescent="0.4">
      <c r="A37" s="81"/>
      <c r="B37" s="82"/>
      <c r="C37" s="17"/>
      <c r="D37" s="17"/>
      <c r="E37" s="17"/>
      <c r="F37" s="218"/>
      <c r="G37" s="20"/>
      <c r="H37" s="17"/>
      <c r="I37" s="17"/>
      <c r="J37" s="19"/>
      <c r="K37" s="19"/>
      <c r="L37" s="19"/>
      <c r="M37" s="19"/>
      <c r="N37" s="19"/>
      <c r="O37" s="19"/>
      <c r="P37" s="19"/>
      <c r="Q37" s="86"/>
    </row>
    <row r="38" spans="1:17" s="7" customFormat="1" ht="30" customHeight="1" x14ac:dyDescent="0.35">
      <c r="A38" s="76" t="s">
        <v>80</v>
      </c>
      <c r="B38" s="77" t="s">
        <v>83</v>
      </c>
      <c r="C38" s="186"/>
      <c r="D38" s="186"/>
      <c r="E38" s="332" t="s">
        <v>94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4"/>
    </row>
    <row r="39" spans="1:17" s="7" customFormat="1" ht="30" customHeight="1" x14ac:dyDescent="0.35">
      <c r="A39" s="122" t="s">
        <v>81</v>
      </c>
      <c r="B39" s="75" t="s">
        <v>82</v>
      </c>
      <c r="C39" s="275">
        <f>J39+K39+L39+M39+N39+O39+P39</f>
        <v>7</v>
      </c>
      <c r="D39" s="75"/>
      <c r="E39" s="95"/>
      <c r="F39" s="53"/>
      <c r="G39" s="75"/>
      <c r="H39" s="53"/>
      <c r="I39" s="53"/>
      <c r="J39" s="95">
        <v>1</v>
      </c>
      <c r="K39" s="95">
        <v>1</v>
      </c>
      <c r="L39" s="95">
        <v>1</v>
      </c>
      <c r="M39" s="95">
        <v>1</v>
      </c>
      <c r="N39" s="95">
        <v>1</v>
      </c>
      <c r="O39" s="95">
        <v>1</v>
      </c>
      <c r="P39" s="95">
        <v>1</v>
      </c>
      <c r="Q39" s="130"/>
    </row>
    <row r="40" spans="1:17" s="7" customFormat="1" ht="30" customHeight="1" x14ac:dyDescent="0.35">
      <c r="A40" s="122" t="s">
        <v>84</v>
      </c>
      <c r="B40" s="75" t="s">
        <v>85</v>
      </c>
      <c r="C40" s="75">
        <f>C41+C42+C43</f>
        <v>2</v>
      </c>
      <c r="D40" s="75"/>
      <c r="E40" s="53"/>
      <c r="F40" s="53"/>
      <c r="G40" s="75"/>
      <c r="H40" s="53"/>
      <c r="I40" s="53"/>
      <c r="J40" s="95"/>
      <c r="K40" s="95"/>
      <c r="L40" s="95"/>
      <c r="M40" s="95"/>
      <c r="N40" s="95"/>
      <c r="O40" s="95"/>
      <c r="P40" s="95"/>
      <c r="Q40" s="96">
        <v>2</v>
      </c>
    </row>
    <row r="41" spans="1:17" s="7" customFormat="1" ht="30" customHeight="1" x14ac:dyDescent="0.35">
      <c r="A41" s="122" t="s">
        <v>86</v>
      </c>
      <c r="B41" s="75" t="s">
        <v>89</v>
      </c>
      <c r="C41" s="75">
        <v>1</v>
      </c>
      <c r="D41" s="75"/>
      <c r="E41" s="53"/>
      <c r="F41" s="53"/>
      <c r="G41" s="75"/>
      <c r="H41" s="53"/>
      <c r="I41" s="53"/>
      <c r="J41" s="61"/>
      <c r="K41" s="61"/>
      <c r="L41" s="61"/>
      <c r="M41" s="61"/>
      <c r="N41" s="61"/>
      <c r="O41" s="61"/>
      <c r="P41" s="61"/>
      <c r="Q41" s="62"/>
    </row>
    <row r="42" spans="1:17" s="7" customFormat="1" ht="30" customHeight="1" x14ac:dyDescent="0.35">
      <c r="A42" s="122" t="s">
        <v>87</v>
      </c>
      <c r="B42" s="75" t="s">
        <v>1</v>
      </c>
      <c r="C42" s="75">
        <v>0.5</v>
      </c>
      <c r="D42" s="75"/>
      <c r="E42" s="53"/>
      <c r="F42" s="53"/>
      <c r="G42" s="75"/>
      <c r="H42" s="53"/>
      <c r="I42" s="53"/>
      <c r="J42" s="61"/>
      <c r="K42" s="61"/>
      <c r="L42" s="61"/>
      <c r="M42" s="61"/>
      <c r="N42" s="61"/>
      <c r="O42" s="61"/>
      <c r="P42" s="61"/>
      <c r="Q42" s="62"/>
    </row>
    <row r="43" spans="1:17" s="7" customFormat="1" ht="29.4" customHeight="1" thickBot="1" x14ac:dyDescent="0.4">
      <c r="A43" s="123" t="s">
        <v>88</v>
      </c>
      <c r="B43" s="100" t="s">
        <v>41</v>
      </c>
      <c r="C43" s="100">
        <v>0.5</v>
      </c>
      <c r="D43" s="100"/>
      <c r="E43" s="101"/>
      <c r="F43" s="101"/>
      <c r="G43" s="100"/>
      <c r="H43" s="101"/>
      <c r="I43" s="101"/>
      <c r="J43" s="91"/>
      <c r="K43" s="91"/>
      <c r="L43" s="91"/>
      <c r="M43" s="91"/>
      <c r="N43" s="91"/>
      <c r="O43" s="91"/>
      <c r="P43" s="91"/>
      <c r="Q43" s="102"/>
    </row>
    <row r="44" spans="1:17" s="7" customFormat="1" ht="30" customHeight="1" thickBot="1" x14ac:dyDescent="0.4">
      <c r="A44" s="335" t="s">
        <v>93</v>
      </c>
      <c r="B44" s="336"/>
      <c r="C44" s="276">
        <v>8</v>
      </c>
      <c r="D44" s="165"/>
      <c r="E44" s="103"/>
      <c r="F44" s="104"/>
      <c r="G44" s="105"/>
      <c r="H44" s="104"/>
      <c r="I44" s="104"/>
      <c r="J44" s="106"/>
      <c r="K44" s="106"/>
      <c r="L44" s="106"/>
      <c r="M44" s="106"/>
      <c r="N44" s="106"/>
      <c r="O44" s="106"/>
      <c r="P44" s="106"/>
      <c r="Q44" s="107"/>
    </row>
    <row r="45" spans="1:17" ht="40.200000000000003" customHeight="1" x14ac:dyDescent="0.3">
      <c r="A45" s="20"/>
      <c r="B45" s="21"/>
      <c r="C45" s="21"/>
      <c r="D45" s="21"/>
      <c r="E45" s="17"/>
      <c r="F45" s="18"/>
      <c r="G45" s="19"/>
      <c r="H45" s="17"/>
      <c r="I45" s="18"/>
      <c r="J45" s="19"/>
      <c r="K45" s="19"/>
      <c r="L45" s="19"/>
      <c r="M45" s="19"/>
      <c r="N45" s="19"/>
      <c r="O45" s="19"/>
      <c r="P45" s="17"/>
      <c r="Q45" s="17"/>
    </row>
    <row r="46" spans="1:17" ht="18" x14ac:dyDescent="0.3">
      <c r="A46" s="370"/>
      <c r="B46" s="370"/>
      <c r="C46" s="159"/>
      <c r="D46" s="159"/>
      <c r="E46" s="17"/>
      <c r="F46" s="18"/>
      <c r="G46" s="21"/>
      <c r="H46" s="17"/>
      <c r="I46" s="18"/>
      <c r="J46" s="21"/>
      <c r="K46" s="17"/>
      <c r="L46" s="17"/>
      <c r="M46" s="17"/>
      <c r="N46" s="17"/>
      <c r="O46" s="17"/>
      <c r="P46" s="17"/>
      <c r="Q46" s="17"/>
    </row>
    <row r="47" spans="1:17" ht="40.200000000000003" customHeight="1" x14ac:dyDescent="0.3">
      <c r="A47" s="20"/>
      <c r="B47" s="21"/>
      <c r="C47" s="21"/>
      <c r="D47" s="21"/>
      <c r="E47" s="17"/>
      <c r="F47" s="18"/>
      <c r="G47" s="19"/>
      <c r="H47" s="17"/>
      <c r="I47" s="18"/>
      <c r="J47" s="19"/>
      <c r="K47" s="19"/>
      <c r="L47" s="19"/>
      <c r="M47" s="19"/>
      <c r="N47" s="19"/>
      <c r="O47" s="19"/>
      <c r="P47" s="17"/>
      <c r="Q47" s="17"/>
    </row>
    <row r="48" spans="1:17" ht="40.200000000000003" customHeight="1" x14ac:dyDescent="0.3">
      <c r="A48" s="17"/>
      <c r="B48" s="22"/>
      <c r="C48" s="22"/>
      <c r="D48" s="22"/>
      <c r="E48" s="23"/>
      <c r="F48" s="18"/>
      <c r="G48" s="23"/>
      <c r="H48" s="23"/>
      <c r="I48" s="18"/>
      <c r="J48" s="23"/>
      <c r="K48" s="23"/>
      <c r="L48" s="23"/>
      <c r="M48" s="23"/>
      <c r="N48" s="23"/>
      <c r="O48" s="23"/>
      <c r="P48" s="23"/>
      <c r="Q48" s="23"/>
    </row>
  </sheetData>
  <mergeCells count="39">
    <mergeCell ref="A27:B27"/>
    <mergeCell ref="E27:G27"/>
    <mergeCell ref="A19:B19"/>
    <mergeCell ref="E19:G19"/>
    <mergeCell ref="D6:D7"/>
    <mergeCell ref="C6:C7"/>
    <mergeCell ref="C20:D20"/>
    <mergeCell ref="A2:Q2"/>
    <mergeCell ref="A46:B46"/>
    <mergeCell ref="A3:A4"/>
    <mergeCell ref="B3:B4"/>
    <mergeCell ref="J3:Q3"/>
    <mergeCell ref="H3:I3"/>
    <mergeCell ref="E3:G3"/>
    <mergeCell ref="J8:Q8"/>
    <mergeCell ref="J6:Q6"/>
    <mergeCell ref="B6:B7"/>
    <mergeCell ref="A6:A7"/>
    <mergeCell ref="E6:G7"/>
    <mergeCell ref="H6:H7"/>
    <mergeCell ref="I6:I7"/>
    <mergeCell ref="E8:G8"/>
    <mergeCell ref="E9:G9"/>
    <mergeCell ref="J29:Q29"/>
    <mergeCell ref="E38:Q38"/>
    <mergeCell ref="A44:B44"/>
    <mergeCell ref="A18:B18"/>
    <mergeCell ref="E14:G14"/>
    <mergeCell ref="E18:G18"/>
    <mergeCell ref="E21:G21"/>
    <mergeCell ref="A26:B26"/>
    <mergeCell ref="E26:G26"/>
    <mergeCell ref="A20:B20"/>
    <mergeCell ref="A28:B28"/>
    <mergeCell ref="E20:G20"/>
    <mergeCell ref="E28:G28"/>
    <mergeCell ref="E29:G29"/>
    <mergeCell ref="A36:B36"/>
    <mergeCell ref="C28:D28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59" fitToHeight="2" orientation="landscape" r:id="rId1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B516-0EA4-4B19-A0EE-787378EDCCDC}">
  <dimension ref="A1:K41"/>
  <sheetViews>
    <sheetView view="pageBreakPreview" topLeftCell="A16" zoomScale="60" zoomScaleNormal="100" workbookViewId="0">
      <selection activeCell="A17" sqref="A17:B17"/>
    </sheetView>
  </sheetViews>
  <sheetFormatPr defaultRowHeight="14.4" x14ac:dyDescent="0.3"/>
  <cols>
    <col min="1" max="1" width="19.5546875" customWidth="1"/>
    <col min="2" max="2" width="60.5546875" customWidth="1"/>
    <col min="3" max="4" width="10.33203125" customWidth="1"/>
    <col min="5" max="5" width="8" customWidth="1"/>
    <col min="7" max="7" width="8.33203125" customWidth="1"/>
    <col min="8" max="8" width="10.109375" customWidth="1"/>
    <col min="9" max="9" width="8.6640625" customWidth="1"/>
    <col min="10" max="10" width="11.44140625" customWidth="1"/>
    <col min="11" max="11" width="12.109375" customWidth="1"/>
  </cols>
  <sheetData>
    <row r="1" spans="1:11" s="29" customFormat="1" ht="27" customHeight="1" x14ac:dyDescent="0.4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7.6" customHeight="1" thickBot="1" x14ac:dyDescent="0.35">
      <c r="A2" s="369" t="s">
        <v>197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64.2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198</v>
      </c>
      <c r="K3" s="408"/>
    </row>
    <row r="4" spans="1:11" ht="88.95" customHeight="1" thickBot="1" x14ac:dyDescent="0.35">
      <c r="A4" s="372"/>
      <c r="B4" s="374"/>
      <c r="C4" s="188" t="s">
        <v>161</v>
      </c>
      <c r="D4" s="188" t="s">
        <v>161</v>
      </c>
      <c r="E4" s="42" t="s">
        <v>118</v>
      </c>
      <c r="F4" s="43" t="s">
        <v>48</v>
      </c>
      <c r="G4" s="42" t="s">
        <v>49</v>
      </c>
      <c r="H4" s="42" t="s">
        <v>162</v>
      </c>
      <c r="I4" s="43" t="s">
        <v>20</v>
      </c>
      <c r="J4" s="42" t="s">
        <v>199</v>
      </c>
      <c r="K4" s="42" t="s">
        <v>200</v>
      </c>
    </row>
    <row r="5" spans="1:11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</row>
    <row r="6" spans="1:11" ht="32.4" customHeight="1" thickBot="1" x14ac:dyDescent="0.35">
      <c r="A6" s="384"/>
      <c r="B6" s="382" t="s">
        <v>43</v>
      </c>
      <c r="C6" s="382" t="s">
        <v>203</v>
      </c>
      <c r="D6" s="382" t="s">
        <v>204</v>
      </c>
      <c r="E6" s="386" t="s">
        <v>205</v>
      </c>
      <c r="F6" s="387"/>
      <c r="G6" s="388"/>
      <c r="H6" s="392"/>
      <c r="I6" s="392"/>
      <c r="J6" s="380" t="s">
        <v>52</v>
      </c>
      <c r="K6" s="406"/>
    </row>
    <row r="7" spans="1:11" ht="19.2" customHeight="1" thickBot="1" x14ac:dyDescent="0.35">
      <c r="A7" s="385"/>
      <c r="B7" s="383"/>
      <c r="C7" s="383"/>
      <c r="D7" s="383"/>
      <c r="E7" s="389"/>
      <c r="F7" s="390"/>
      <c r="G7" s="391"/>
      <c r="H7" s="393"/>
      <c r="I7" s="393"/>
      <c r="J7" s="44">
        <v>16</v>
      </c>
      <c r="K7" s="44">
        <v>17</v>
      </c>
    </row>
    <row r="8" spans="1:11" ht="37.200000000000003" customHeight="1" thickBot="1" x14ac:dyDescent="0.35">
      <c r="A8" s="3"/>
      <c r="B8" s="299" t="s">
        <v>44</v>
      </c>
      <c r="C8" s="139">
        <f>C17+C24</f>
        <v>686</v>
      </c>
      <c r="D8" s="295">
        <f>D9+D12</f>
        <v>363</v>
      </c>
      <c r="E8" s="342">
        <f>E16+E24</f>
        <v>323</v>
      </c>
      <c r="F8" s="345"/>
      <c r="G8" s="346"/>
      <c r="H8" s="176"/>
      <c r="I8" s="177"/>
      <c r="J8" s="330" t="s">
        <v>51</v>
      </c>
      <c r="K8" s="407"/>
    </row>
    <row r="9" spans="1:11" ht="30" customHeight="1" thickBot="1" x14ac:dyDescent="0.35">
      <c r="A9" s="113" t="s">
        <v>45</v>
      </c>
      <c r="B9" s="113" t="s">
        <v>12</v>
      </c>
      <c r="C9" s="293">
        <f>C10+C11</f>
        <v>429</v>
      </c>
      <c r="D9" s="301">
        <f>D10+D11</f>
        <v>264</v>
      </c>
      <c r="E9" s="342">
        <f>F11+G10</f>
        <v>165</v>
      </c>
      <c r="F9" s="345"/>
      <c r="G9" s="346"/>
      <c r="H9" s="178"/>
      <c r="I9" s="178"/>
      <c r="J9" s="1"/>
      <c r="K9" s="1"/>
    </row>
    <row r="10" spans="1:11" s="7" customFormat="1" ht="30" customHeight="1" thickBot="1" x14ac:dyDescent="0.4">
      <c r="A10" s="6" t="s">
        <v>61</v>
      </c>
      <c r="B10" s="25" t="s">
        <v>13</v>
      </c>
      <c r="C10" s="192">
        <f>D10+E10+F10+G10</f>
        <v>297</v>
      </c>
      <c r="D10" s="190">
        <f>6*J7+6*K7</f>
        <v>198</v>
      </c>
      <c r="E10" s="234"/>
      <c r="F10" s="234"/>
      <c r="G10" s="193">
        <f>J10*J7+K10*K7</f>
        <v>99</v>
      </c>
      <c r="H10" s="179">
        <v>17</v>
      </c>
      <c r="I10" s="179"/>
      <c r="J10" s="26">
        <v>3</v>
      </c>
      <c r="K10" s="26">
        <v>3</v>
      </c>
    </row>
    <row r="11" spans="1:11" s="7" customFormat="1" ht="30" customHeight="1" thickBot="1" x14ac:dyDescent="0.4">
      <c r="A11" s="6" t="s">
        <v>62</v>
      </c>
      <c r="B11" s="25" t="s">
        <v>19</v>
      </c>
      <c r="C11" s="192">
        <f t="shared" ref="C11" si="0">D11+E11+F11+G11</f>
        <v>132</v>
      </c>
      <c r="D11" s="191">
        <f>2*J7+2*K7</f>
        <v>66</v>
      </c>
      <c r="E11" s="234"/>
      <c r="F11" s="234">
        <f>J11*J7+K11*K7</f>
        <v>66</v>
      </c>
      <c r="G11" s="193"/>
      <c r="H11" s="179">
        <v>18</v>
      </c>
      <c r="I11" s="180"/>
      <c r="J11" s="26">
        <v>2</v>
      </c>
      <c r="K11" s="26">
        <v>2</v>
      </c>
    </row>
    <row r="12" spans="1:11" ht="30" customHeight="1" thickBot="1" x14ac:dyDescent="0.35">
      <c r="A12" s="113" t="s">
        <v>65</v>
      </c>
      <c r="B12" s="113" t="s">
        <v>0</v>
      </c>
      <c r="C12" s="292">
        <f>C13+C14+C15</f>
        <v>231</v>
      </c>
      <c r="D12" s="290">
        <f>D13+D14+D15</f>
        <v>99</v>
      </c>
      <c r="E12" s="339">
        <f>F13+F14+F15</f>
        <v>132</v>
      </c>
      <c r="F12" s="340"/>
      <c r="G12" s="341"/>
      <c r="H12" s="178"/>
      <c r="I12" s="178"/>
      <c r="J12" s="1"/>
      <c r="K12" s="1"/>
    </row>
    <row r="13" spans="1:11" s="7" customFormat="1" ht="30" customHeight="1" thickBot="1" x14ac:dyDescent="0.4">
      <c r="A13" s="6" t="s">
        <v>66</v>
      </c>
      <c r="B13" s="112" t="s">
        <v>1</v>
      </c>
      <c r="C13" s="193">
        <f>D13+E13+F13+G13</f>
        <v>82.5</v>
      </c>
      <c r="D13" s="302">
        <f>1*J7+1*K7</f>
        <v>33</v>
      </c>
      <c r="E13" s="193"/>
      <c r="F13" s="193">
        <f>J13*J7+K13*K7</f>
        <v>49.5</v>
      </c>
      <c r="G13" s="193"/>
      <c r="H13" s="179">
        <v>17</v>
      </c>
      <c r="I13" s="181"/>
      <c r="J13" s="26">
        <v>1.5</v>
      </c>
      <c r="K13" s="26">
        <v>1.5</v>
      </c>
    </row>
    <row r="14" spans="1:11" s="7" customFormat="1" ht="30" customHeight="1" thickBot="1" x14ac:dyDescent="0.4">
      <c r="A14" s="6" t="s">
        <v>67</v>
      </c>
      <c r="B14" s="112" t="s">
        <v>41</v>
      </c>
      <c r="C14" s="193">
        <f t="shared" ref="C14:C15" si="1">D14+E14+F14+G14</f>
        <v>82.5</v>
      </c>
      <c r="D14" s="302">
        <f>1*J7+1*K7</f>
        <v>33</v>
      </c>
      <c r="E14" s="193"/>
      <c r="F14" s="193">
        <f>J14*J7+K14*K7</f>
        <v>49.5</v>
      </c>
      <c r="G14" s="193"/>
      <c r="H14" s="181">
        <v>17</v>
      </c>
      <c r="I14" s="181"/>
      <c r="J14" s="26">
        <v>1.5</v>
      </c>
      <c r="K14" s="26">
        <v>1.5</v>
      </c>
    </row>
    <row r="15" spans="1:11" s="7" customFormat="1" ht="30" customHeight="1" thickBot="1" x14ac:dyDescent="0.4">
      <c r="A15" s="6" t="s">
        <v>68</v>
      </c>
      <c r="B15" s="41" t="s">
        <v>201</v>
      </c>
      <c r="C15" s="193">
        <f t="shared" si="1"/>
        <v>66</v>
      </c>
      <c r="D15" s="302">
        <f>1*33</f>
        <v>33</v>
      </c>
      <c r="E15" s="193"/>
      <c r="F15" s="193">
        <f>J15*J7+K15*K7</f>
        <v>33</v>
      </c>
      <c r="G15" s="193"/>
      <c r="H15" s="304">
        <v>17.18</v>
      </c>
      <c r="I15" s="181"/>
      <c r="J15" s="26">
        <v>1</v>
      </c>
      <c r="K15" s="26">
        <v>1</v>
      </c>
    </row>
    <row r="16" spans="1:11" s="7" customFormat="1" ht="30" customHeight="1" thickBot="1" x14ac:dyDescent="0.4">
      <c r="A16" s="337" t="s">
        <v>167</v>
      </c>
      <c r="B16" s="338"/>
      <c r="C16" s="139"/>
      <c r="D16" s="294"/>
      <c r="E16" s="342">
        <f>E12+E9</f>
        <v>297</v>
      </c>
      <c r="F16" s="343"/>
      <c r="G16" s="344"/>
      <c r="H16" s="179"/>
      <c r="I16" s="181"/>
      <c r="J16" s="50">
        <f>SUM(J10:J15)</f>
        <v>9</v>
      </c>
      <c r="K16" s="50">
        <f>SUM(K10:K15)</f>
        <v>9</v>
      </c>
    </row>
    <row r="17" spans="1:11" s="202" customFormat="1" ht="30" customHeight="1" thickBot="1" x14ac:dyDescent="0.35">
      <c r="A17" s="396" t="s">
        <v>166</v>
      </c>
      <c r="B17" s="397"/>
      <c r="C17" s="298">
        <f>E17+D17</f>
        <v>660</v>
      </c>
      <c r="D17" s="3">
        <f>D12+D9</f>
        <v>363</v>
      </c>
      <c r="E17" s="398">
        <f>E16</f>
        <v>297</v>
      </c>
      <c r="F17" s="399"/>
      <c r="G17" s="400"/>
      <c r="H17" s="39"/>
      <c r="I17" s="305"/>
      <c r="J17" s="201">
        <f>J16+10.5</f>
        <v>19.5</v>
      </c>
      <c r="K17" s="201">
        <f>K16+10.5</f>
        <v>19.5</v>
      </c>
    </row>
    <row r="18" spans="1:11" s="204" customFormat="1" ht="30" customHeight="1" thickBot="1" x14ac:dyDescent="0.35">
      <c r="A18" s="352" t="s">
        <v>168</v>
      </c>
      <c r="B18" s="353"/>
      <c r="C18" s="401"/>
      <c r="D18" s="402"/>
      <c r="E18" s="356"/>
      <c r="F18" s="357"/>
      <c r="G18" s="358"/>
      <c r="H18" s="132">
        <v>6</v>
      </c>
      <c r="I18" s="98" t="s">
        <v>163</v>
      </c>
      <c r="J18" s="137"/>
      <c r="K18" s="132"/>
    </row>
    <row r="19" spans="1:11" ht="30" customHeight="1" thickBot="1" x14ac:dyDescent="0.35">
      <c r="A19" s="301" t="s">
        <v>70</v>
      </c>
      <c r="B19" s="98" t="s">
        <v>2</v>
      </c>
      <c r="C19" s="293">
        <f>D19+E19</f>
        <v>66</v>
      </c>
      <c r="D19" s="301">
        <f>J7*0.5+K7*0.5</f>
        <v>16.5</v>
      </c>
      <c r="E19" s="342">
        <f>F20+E20+G20</f>
        <v>49.5</v>
      </c>
      <c r="F19" s="345"/>
      <c r="G19" s="346"/>
      <c r="H19" s="178"/>
      <c r="I19" s="178"/>
      <c r="J19" s="1"/>
      <c r="K19" s="1"/>
    </row>
    <row r="20" spans="1:11" s="7" customFormat="1" ht="30" customHeight="1" thickBot="1" x14ac:dyDescent="0.4">
      <c r="A20" s="6" t="s">
        <v>155</v>
      </c>
      <c r="B20" s="37" t="s">
        <v>15</v>
      </c>
      <c r="C20" s="302">
        <f>D20+E20</f>
        <v>66</v>
      </c>
      <c r="D20" s="195">
        <f>0.5*J7+0.5*K7</f>
        <v>16.5</v>
      </c>
      <c r="E20" s="195">
        <f>J20*J7+K20*K7</f>
        <v>49.5</v>
      </c>
      <c r="F20" s="302"/>
      <c r="G20" s="302"/>
      <c r="H20" s="181">
        <v>18</v>
      </c>
      <c r="I20" s="178"/>
      <c r="J20" s="2">
        <v>1.5</v>
      </c>
      <c r="K20" s="4">
        <v>1.5</v>
      </c>
    </row>
    <row r="21" spans="1:11" s="7" customFormat="1" ht="34.950000000000003" customHeight="1" thickBot="1" x14ac:dyDescent="0.4">
      <c r="A21" s="347" t="s">
        <v>72</v>
      </c>
      <c r="B21" s="348"/>
      <c r="C21" s="198"/>
      <c r="D21" s="151"/>
      <c r="E21" s="349">
        <f>E16+E19</f>
        <v>346.5</v>
      </c>
      <c r="F21" s="350"/>
      <c r="G21" s="351"/>
      <c r="H21" s="71"/>
      <c r="I21" s="71"/>
      <c r="J21" s="199">
        <f>SUM(J10:J11,J13:J15,J20:J20)</f>
        <v>10.5</v>
      </c>
      <c r="K21" s="199">
        <f>SUM(K10:K11,K13:K15,K20:K20)</f>
        <v>10.5</v>
      </c>
    </row>
    <row r="22" spans="1:11" s="7" customFormat="1" ht="34.950000000000003" customHeight="1" thickBot="1" x14ac:dyDescent="0.4">
      <c r="A22" s="394" t="s">
        <v>165</v>
      </c>
      <c r="B22" s="395"/>
      <c r="C22" s="125">
        <f>C17+C19</f>
        <v>726</v>
      </c>
      <c r="D22" s="296">
        <f>D17+D19</f>
        <v>379.5</v>
      </c>
      <c r="E22" s="349">
        <f>E21</f>
        <v>346.5</v>
      </c>
      <c r="F22" s="350"/>
      <c r="G22" s="351"/>
      <c r="H22" s="302"/>
      <c r="I22" s="302"/>
      <c r="J22" s="125">
        <f>J17+J20</f>
        <v>21</v>
      </c>
      <c r="K22" s="125">
        <f>K17+K20</f>
        <v>21</v>
      </c>
    </row>
    <row r="23" spans="1:11" s="7" customFormat="1" ht="34.950000000000003" customHeight="1" thickBot="1" x14ac:dyDescent="0.4">
      <c r="A23" s="354" t="s">
        <v>169</v>
      </c>
      <c r="B23" s="355"/>
      <c r="C23" s="367"/>
      <c r="D23" s="368"/>
      <c r="E23" s="359"/>
      <c r="F23" s="360"/>
      <c r="G23" s="361"/>
      <c r="H23" s="79">
        <v>35</v>
      </c>
      <c r="I23" s="79">
        <v>9</v>
      </c>
      <c r="J23" s="80"/>
      <c r="K23" s="80"/>
    </row>
    <row r="24" spans="1:11" s="7" customFormat="1" ht="32.4" customHeight="1" thickTop="1" thickBot="1" x14ac:dyDescent="0.4">
      <c r="A24" s="73" t="s">
        <v>73</v>
      </c>
      <c r="B24" s="300" t="s">
        <v>74</v>
      </c>
      <c r="C24" s="205">
        <f>E24</f>
        <v>26</v>
      </c>
      <c r="D24" s="183" t="s">
        <v>163</v>
      </c>
      <c r="E24" s="362">
        <f>F28+F26+G25+E29+F27</f>
        <v>26</v>
      </c>
      <c r="F24" s="363"/>
      <c r="G24" s="364"/>
      <c r="H24" s="74"/>
      <c r="I24" s="74"/>
      <c r="J24" s="403" t="s">
        <v>91</v>
      </c>
      <c r="K24" s="404"/>
    </row>
    <row r="25" spans="1:11" s="7" customFormat="1" ht="30" customHeight="1" thickBot="1" x14ac:dyDescent="0.4">
      <c r="A25" s="6" t="s">
        <v>75</v>
      </c>
      <c r="B25" s="69" t="s">
        <v>7</v>
      </c>
      <c r="C25" s="124"/>
      <c r="D25" s="124"/>
      <c r="E25" s="193"/>
      <c r="F25" s="193"/>
      <c r="G25" s="193">
        <f>J25+K25</f>
        <v>8</v>
      </c>
      <c r="H25" s="5"/>
      <c r="I25" s="5"/>
      <c r="J25" s="4">
        <v>4</v>
      </c>
      <c r="K25" s="4">
        <v>4</v>
      </c>
    </row>
    <row r="26" spans="1:11" s="7" customFormat="1" ht="30" customHeight="1" thickBot="1" x14ac:dyDescent="0.4">
      <c r="A26" s="6" t="s">
        <v>76</v>
      </c>
      <c r="B26" s="69" t="s">
        <v>1</v>
      </c>
      <c r="C26" s="124"/>
      <c r="D26" s="124"/>
      <c r="E26" s="193"/>
      <c r="F26" s="193">
        <f>K26+J26</f>
        <v>4</v>
      </c>
      <c r="G26" s="193"/>
      <c r="H26" s="5"/>
      <c r="I26" s="5"/>
      <c r="J26" s="4">
        <v>2</v>
      </c>
      <c r="K26" s="4">
        <v>2</v>
      </c>
    </row>
    <row r="27" spans="1:11" s="7" customFormat="1" ht="30" customHeight="1" thickBot="1" x14ac:dyDescent="0.4">
      <c r="A27" s="6" t="s">
        <v>77</v>
      </c>
      <c r="B27" s="69" t="s">
        <v>98</v>
      </c>
      <c r="C27" s="124"/>
      <c r="D27" s="124"/>
      <c r="E27" s="193"/>
      <c r="F27" s="193">
        <f>J27+K27</f>
        <v>4</v>
      </c>
      <c r="G27" s="193"/>
      <c r="H27" s="5"/>
      <c r="I27" s="5"/>
      <c r="J27" s="4">
        <v>2</v>
      </c>
      <c r="K27" s="4">
        <v>2</v>
      </c>
    </row>
    <row r="28" spans="1:11" s="7" customFormat="1" ht="30" customHeight="1" thickBot="1" x14ac:dyDescent="0.4">
      <c r="A28" s="6" t="s">
        <v>78</v>
      </c>
      <c r="B28" s="69" t="s">
        <v>19</v>
      </c>
      <c r="C28" s="124"/>
      <c r="D28" s="124"/>
      <c r="E28" s="193"/>
      <c r="F28" s="193">
        <f>K28+J28</f>
        <v>2</v>
      </c>
      <c r="G28" s="193"/>
      <c r="H28" s="5"/>
      <c r="I28" s="5"/>
      <c r="J28" s="4">
        <v>1</v>
      </c>
      <c r="K28" s="4">
        <v>1</v>
      </c>
    </row>
    <row r="29" spans="1:11" s="7" customFormat="1" ht="30" customHeight="1" thickBot="1" x14ac:dyDescent="0.4">
      <c r="A29" s="6" t="s">
        <v>79</v>
      </c>
      <c r="B29" s="124" t="s">
        <v>202</v>
      </c>
      <c r="C29" s="124"/>
      <c r="D29" s="124"/>
      <c r="E29" s="235">
        <f>J29+K29</f>
        <v>8</v>
      </c>
      <c r="F29" s="93"/>
      <c r="G29" s="236"/>
      <c r="H29" s="125"/>
      <c r="I29" s="5"/>
      <c r="J29" s="4">
        <v>4</v>
      </c>
      <c r="K29" s="4">
        <v>4</v>
      </c>
    </row>
    <row r="30" spans="1:11" s="90" customFormat="1" ht="30" customHeight="1" thickBot="1" x14ac:dyDescent="0.4">
      <c r="A30" s="365" t="s">
        <v>148</v>
      </c>
      <c r="B30" s="366"/>
      <c r="C30" s="185"/>
      <c r="D30" s="185"/>
      <c r="E30" s="87"/>
      <c r="F30" s="88"/>
      <c r="G30" s="89"/>
      <c r="H30" s="78"/>
      <c r="I30" s="78"/>
      <c r="J30" s="5">
        <f>SUM(J25:J29)</f>
        <v>13</v>
      </c>
      <c r="K30" s="5">
        <f>SUM(K25:K29)</f>
        <v>13</v>
      </c>
    </row>
    <row r="31" spans="1:11" s="7" customFormat="1" ht="30" customHeight="1" thickBot="1" x14ac:dyDescent="0.4">
      <c r="A31" s="81"/>
      <c r="B31" s="82"/>
      <c r="C31" s="17"/>
      <c r="D31" s="17"/>
      <c r="E31" s="17"/>
      <c r="F31" s="289"/>
      <c r="G31" s="20"/>
      <c r="H31" s="17"/>
      <c r="I31" s="17"/>
      <c r="J31" s="19"/>
      <c r="K31" s="306"/>
    </row>
    <row r="32" spans="1:11" s="7" customFormat="1" ht="30" customHeight="1" x14ac:dyDescent="0.35">
      <c r="A32" s="76" t="s">
        <v>80</v>
      </c>
      <c r="B32" s="77" t="s">
        <v>83</v>
      </c>
      <c r="C32" s="186"/>
      <c r="D32" s="186"/>
      <c r="E32" s="332" t="s">
        <v>94</v>
      </c>
      <c r="F32" s="333"/>
      <c r="G32" s="333"/>
      <c r="H32" s="333"/>
      <c r="I32" s="333"/>
      <c r="J32" s="333"/>
      <c r="K32" s="405"/>
    </row>
    <row r="33" spans="1:11" s="7" customFormat="1" ht="30" customHeight="1" x14ac:dyDescent="0.35">
      <c r="A33" s="122" t="s">
        <v>206</v>
      </c>
      <c r="B33" s="75" t="s">
        <v>85</v>
      </c>
      <c r="C33" s="75">
        <f>C34+C35+C36</f>
        <v>2</v>
      </c>
      <c r="D33" s="75"/>
      <c r="E33" s="53"/>
      <c r="F33" s="53"/>
      <c r="G33" s="75"/>
      <c r="H33" s="53"/>
      <c r="I33" s="53"/>
      <c r="J33" s="95"/>
      <c r="K33" s="95">
        <v>2</v>
      </c>
    </row>
    <row r="34" spans="1:11" s="7" customFormat="1" ht="30" customHeight="1" x14ac:dyDescent="0.35">
      <c r="A34" s="122" t="s">
        <v>207</v>
      </c>
      <c r="B34" s="75" t="s">
        <v>89</v>
      </c>
      <c r="C34" s="75">
        <v>1</v>
      </c>
      <c r="D34" s="75"/>
      <c r="E34" s="53"/>
      <c r="F34" s="53"/>
      <c r="G34" s="75"/>
      <c r="H34" s="53"/>
      <c r="I34" s="53"/>
      <c r="J34" s="61"/>
      <c r="K34" s="61"/>
    </row>
    <row r="35" spans="1:11" s="7" customFormat="1" ht="30" customHeight="1" x14ac:dyDescent="0.35">
      <c r="A35" s="122" t="s">
        <v>208</v>
      </c>
      <c r="B35" s="75" t="s">
        <v>1</v>
      </c>
      <c r="C35" s="75">
        <v>0.5</v>
      </c>
      <c r="D35" s="75"/>
      <c r="E35" s="53"/>
      <c r="F35" s="53"/>
      <c r="G35" s="75"/>
      <c r="H35" s="53"/>
      <c r="I35" s="53"/>
      <c r="J35" s="61"/>
      <c r="K35" s="61"/>
    </row>
    <row r="36" spans="1:11" s="7" customFormat="1" ht="29.4" customHeight="1" thickBot="1" x14ac:dyDescent="0.4">
      <c r="A36" s="123" t="s">
        <v>209</v>
      </c>
      <c r="B36" s="100" t="s">
        <v>41</v>
      </c>
      <c r="C36" s="100">
        <v>0.5</v>
      </c>
      <c r="D36" s="100"/>
      <c r="E36" s="101"/>
      <c r="F36" s="101"/>
      <c r="G36" s="100"/>
      <c r="H36" s="101"/>
      <c r="I36" s="101"/>
      <c r="J36" s="91"/>
      <c r="K36" s="91"/>
    </row>
    <row r="37" spans="1:11" s="7" customFormat="1" ht="30" customHeight="1" thickBot="1" x14ac:dyDescent="0.4">
      <c r="A37" s="335" t="s">
        <v>93</v>
      </c>
      <c r="B37" s="336"/>
      <c r="C37" s="276">
        <v>1</v>
      </c>
      <c r="D37" s="291"/>
      <c r="E37" s="103"/>
      <c r="F37" s="104"/>
      <c r="G37" s="105"/>
      <c r="H37" s="104"/>
      <c r="I37" s="104"/>
      <c r="J37" s="106"/>
      <c r="K37" s="106"/>
    </row>
    <row r="38" spans="1:11" ht="40.200000000000003" customHeight="1" x14ac:dyDescent="0.3">
      <c r="A38" s="20"/>
      <c r="B38" s="21"/>
      <c r="C38" s="21"/>
      <c r="D38" s="21"/>
      <c r="E38" s="17"/>
      <c r="F38" s="18"/>
      <c r="G38" s="19"/>
      <c r="H38" s="17"/>
      <c r="I38" s="18"/>
      <c r="J38" s="19"/>
      <c r="K38" s="19"/>
    </row>
    <row r="39" spans="1:11" ht="18" x14ac:dyDescent="0.3">
      <c r="A39" s="370"/>
      <c r="B39" s="370"/>
      <c r="C39" s="297"/>
      <c r="D39" s="297"/>
      <c r="E39" s="17"/>
      <c r="F39" s="18"/>
      <c r="G39" s="21"/>
      <c r="H39" s="17"/>
      <c r="I39" s="18"/>
      <c r="J39" s="21"/>
      <c r="K39" s="17"/>
    </row>
    <row r="40" spans="1:11" ht="40.200000000000003" customHeight="1" x14ac:dyDescent="0.3">
      <c r="A40" s="20"/>
      <c r="B40" s="21"/>
      <c r="C40" s="21"/>
      <c r="D40" s="21"/>
      <c r="E40" s="17"/>
      <c r="F40" s="18"/>
      <c r="G40" s="19"/>
      <c r="H40" s="17"/>
      <c r="I40" s="18"/>
      <c r="J40" s="19"/>
      <c r="K40" s="19"/>
    </row>
    <row r="41" spans="1:11" ht="40.200000000000003" customHeight="1" x14ac:dyDescent="0.3">
      <c r="A41" s="17"/>
      <c r="B41" s="22"/>
      <c r="C41" s="22"/>
      <c r="D41" s="22"/>
      <c r="E41" s="23"/>
      <c r="F41" s="18"/>
      <c r="G41" s="23"/>
      <c r="H41" s="23"/>
      <c r="I41" s="18"/>
      <c r="J41" s="23"/>
      <c r="K41" s="23"/>
    </row>
  </sheetData>
  <mergeCells count="39">
    <mergeCell ref="A2:K2"/>
    <mergeCell ref="A3:A4"/>
    <mergeCell ref="B3:B4"/>
    <mergeCell ref="E3:G3"/>
    <mergeCell ref="H3:I3"/>
    <mergeCell ref="J3:K3"/>
    <mergeCell ref="E12:G12"/>
    <mergeCell ref="A6:A7"/>
    <mergeCell ref="B6:B7"/>
    <mergeCell ref="C6:C7"/>
    <mergeCell ref="D6:D7"/>
    <mergeCell ref="E6:G7"/>
    <mergeCell ref="I6:I7"/>
    <mergeCell ref="J6:K6"/>
    <mergeCell ref="E8:G8"/>
    <mergeCell ref="J8:K8"/>
    <mergeCell ref="E9:G9"/>
    <mergeCell ref="H6:H7"/>
    <mergeCell ref="A23:B23"/>
    <mergeCell ref="C23:D23"/>
    <mergeCell ref="E23:G23"/>
    <mergeCell ref="E24:G24"/>
    <mergeCell ref="A16:B16"/>
    <mergeCell ref="E16:G16"/>
    <mergeCell ref="A17:B17"/>
    <mergeCell ref="E17:G17"/>
    <mergeCell ref="A18:B18"/>
    <mergeCell ref="C18:D18"/>
    <mergeCell ref="E18:G18"/>
    <mergeCell ref="E19:G19"/>
    <mergeCell ref="A21:B21"/>
    <mergeCell ref="E21:G21"/>
    <mergeCell ref="A22:B22"/>
    <mergeCell ref="E22:G22"/>
    <mergeCell ref="J24:K24"/>
    <mergeCell ref="A30:B30"/>
    <mergeCell ref="E32:K32"/>
    <mergeCell ref="A37:B37"/>
    <mergeCell ref="A39:B39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69" fitToHeight="2" orientation="landscape" horizontalDpi="0" verticalDpi="0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view="pageBreakPreview" zoomScale="60" zoomScaleNormal="100" workbookViewId="0">
      <selection activeCell="Q5" sqref="Q5"/>
    </sheetView>
  </sheetViews>
  <sheetFormatPr defaultColWidth="8.88671875" defaultRowHeight="43.95" customHeight="1" x14ac:dyDescent="0.35"/>
  <cols>
    <col min="1" max="1" width="3.5546875" style="31" customWidth="1"/>
    <col min="2" max="16384" width="8.88671875" style="31"/>
  </cols>
  <sheetData>
    <row r="1" spans="1:13" ht="21" customHeight="1" x14ac:dyDescent="0.35">
      <c r="D1" s="35" t="s">
        <v>32</v>
      </c>
      <c r="I1" s="35" t="s">
        <v>33</v>
      </c>
    </row>
    <row r="2" spans="1:13" s="30" customFormat="1" ht="21" customHeight="1" x14ac:dyDescent="0.35">
      <c r="A2" s="34"/>
      <c r="B2" s="34"/>
      <c r="C2" s="34"/>
      <c r="D2" s="34"/>
      <c r="E2" s="34"/>
      <c r="F2" s="410" t="s">
        <v>139</v>
      </c>
      <c r="G2" s="410"/>
      <c r="H2" s="410"/>
      <c r="I2" s="410"/>
      <c r="J2" s="34"/>
      <c r="K2" s="34"/>
    </row>
    <row r="3" spans="1:13" s="30" customFormat="1" ht="58.95" customHeight="1" x14ac:dyDescent="0.35">
      <c r="A3" s="33" t="s">
        <v>34</v>
      </c>
      <c r="B3" s="409" t="s">
        <v>35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95.4" customHeight="1" x14ac:dyDescent="0.35">
      <c r="A4" s="33" t="s">
        <v>4</v>
      </c>
      <c r="B4" s="409" t="s">
        <v>36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1:13" ht="75.599999999999994" customHeight="1" x14ac:dyDescent="0.35">
      <c r="A5" s="33" t="s">
        <v>23</v>
      </c>
      <c r="B5" s="411" t="s">
        <v>37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ht="100.95" customHeight="1" x14ac:dyDescent="0.35">
      <c r="A6" s="33" t="s">
        <v>6</v>
      </c>
      <c r="B6" s="409" t="s">
        <v>38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spans="1:13" ht="97.2" customHeight="1" x14ac:dyDescent="0.35">
      <c r="A7" s="32" t="s">
        <v>24</v>
      </c>
      <c r="B7" s="409" t="s">
        <v>39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</row>
    <row r="8" spans="1:13" ht="94.2" customHeight="1" x14ac:dyDescent="0.35">
      <c r="B8" s="409" t="s">
        <v>40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</row>
  </sheetData>
  <mergeCells count="7">
    <mergeCell ref="B7:M7"/>
    <mergeCell ref="B8:M8"/>
    <mergeCell ref="F2:I2"/>
    <mergeCell ref="B4:M4"/>
    <mergeCell ref="B3:M3"/>
    <mergeCell ref="B5:M5"/>
    <mergeCell ref="B6:M6"/>
  </mergeCells>
  <pageMargins left="0.70866141732283472" right="0.31496062992125984" top="0.35433070866141736" bottom="0.35433070866141736" header="0.11811023622047245" footer="0.11811023622047245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8"/>
  <sheetViews>
    <sheetView view="pageBreakPreview" topLeftCell="A7" zoomScale="81" zoomScaleNormal="76" zoomScaleSheetLayoutView="81" workbookViewId="0">
      <selection activeCell="I6" sqref="I6:I7"/>
    </sheetView>
  </sheetViews>
  <sheetFormatPr defaultRowHeight="14.4" x14ac:dyDescent="0.3"/>
  <cols>
    <col min="1" max="1" width="19.5546875" customWidth="1"/>
    <col min="2" max="2" width="60.5546875" customWidth="1"/>
    <col min="3" max="3" width="11.88671875" customWidth="1"/>
    <col min="4" max="4" width="12.109375" customWidth="1"/>
    <col min="5" max="5" width="8" customWidth="1"/>
    <col min="6" max="6" width="8.88671875" customWidth="1"/>
    <col min="7" max="7" width="9" customWidth="1"/>
    <col min="8" max="8" width="10.6640625" customWidth="1"/>
    <col min="9" max="9" width="9" customWidth="1"/>
    <col min="10" max="10" width="6.6640625" customWidth="1"/>
    <col min="11" max="17" width="7" customWidth="1"/>
  </cols>
  <sheetData>
    <row r="1" spans="1:17" s="29" customFormat="1" ht="27" customHeight="1" x14ac:dyDescent="0.45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8"/>
      <c r="Q1" s="28"/>
    </row>
    <row r="2" spans="1:17" ht="27.6" customHeight="1" thickBot="1" x14ac:dyDescent="0.35">
      <c r="A2" s="369" t="s">
        <v>144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67.95" customHeight="1" thickBot="1" x14ac:dyDescent="0.35">
      <c r="A3" s="371" t="s">
        <v>46</v>
      </c>
      <c r="B3" s="373" t="s">
        <v>42</v>
      </c>
      <c r="C3" s="182" t="s">
        <v>158</v>
      </c>
      <c r="D3" s="182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  <c r="O3" s="376"/>
      <c r="P3" s="376"/>
      <c r="Q3" s="376"/>
    </row>
    <row r="4" spans="1:17" ht="98.4" customHeight="1" thickBot="1" x14ac:dyDescent="0.35">
      <c r="A4" s="372"/>
      <c r="B4" s="374"/>
      <c r="C4" s="43" t="s">
        <v>160</v>
      </c>
      <c r="D4" s="43" t="s">
        <v>160</v>
      </c>
      <c r="E4" s="42" t="s">
        <v>118</v>
      </c>
      <c r="F4" s="43" t="s">
        <v>48</v>
      </c>
      <c r="G4" s="42" t="s">
        <v>49</v>
      </c>
      <c r="H4" s="206" t="s">
        <v>21</v>
      </c>
      <c r="I4" s="207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  <c r="O4" s="42" t="s">
        <v>59</v>
      </c>
      <c r="P4" s="42" t="s">
        <v>60</v>
      </c>
      <c r="Q4" s="42" t="s">
        <v>90</v>
      </c>
    </row>
    <row r="5" spans="1:17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8">
        <v>17</v>
      </c>
    </row>
    <row r="6" spans="1:17" ht="19.2" customHeight="1" thickBot="1" x14ac:dyDescent="0.35">
      <c r="A6" s="384"/>
      <c r="B6" s="414" t="s">
        <v>43</v>
      </c>
      <c r="C6" s="417" t="s">
        <v>222</v>
      </c>
      <c r="D6" s="417" t="s">
        <v>223</v>
      </c>
      <c r="E6" s="386" t="s">
        <v>221</v>
      </c>
      <c r="F6" s="387"/>
      <c r="G6" s="388"/>
      <c r="H6" s="384"/>
      <c r="I6" s="384"/>
      <c r="J6" s="380" t="s">
        <v>52</v>
      </c>
      <c r="K6" s="381"/>
      <c r="L6" s="381"/>
      <c r="M6" s="381"/>
      <c r="N6" s="381"/>
      <c r="O6" s="381"/>
      <c r="P6" s="381"/>
      <c r="Q6" s="406"/>
    </row>
    <row r="7" spans="1:17" ht="24" customHeight="1" thickBot="1" x14ac:dyDescent="0.35">
      <c r="A7" s="385"/>
      <c r="B7" s="415"/>
      <c r="C7" s="418"/>
      <c r="D7" s="418"/>
      <c r="E7" s="389"/>
      <c r="F7" s="390"/>
      <c r="G7" s="391"/>
      <c r="H7" s="419"/>
      <c r="I7" s="419"/>
      <c r="J7" s="215">
        <v>32</v>
      </c>
      <c r="K7" s="44">
        <v>33</v>
      </c>
      <c r="L7" s="44">
        <v>33</v>
      </c>
      <c r="M7" s="44">
        <v>33</v>
      </c>
      <c r="N7" s="44">
        <v>33</v>
      </c>
      <c r="O7" s="44">
        <v>33</v>
      </c>
      <c r="P7" s="44">
        <v>33</v>
      </c>
      <c r="Q7" s="45">
        <v>33</v>
      </c>
    </row>
    <row r="8" spans="1:17" ht="30" customHeight="1" thickBot="1" x14ac:dyDescent="0.35">
      <c r="A8" s="3"/>
      <c r="B8" s="99" t="s">
        <v>44</v>
      </c>
      <c r="C8" s="212">
        <f>C19+C29</f>
        <v>4257.5</v>
      </c>
      <c r="D8" s="160">
        <f>D9+D14</f>
        <v>2354.5</v>
      </c>
      <c r="E8" s="342">
        <f>E18+E29</f>
        <v>1903</v>
      </c>
      <c r="F8" s="345"/>
      <c r="G8" s="346"/>
      <c r="H8" s="16"/>
      <c r="I8" s="3"/>
      <c r="J8" s="330" t="s">
        <v>51</v>
      </c>
      <c r="K8" s="331"/>
      <c r="L8" s="331"/>
      <c r="M8" s="331"/>
      <c r="N8" s="331"/>
      <c r="O8" s="331"/>
      <c r="P8" s="331"/>
      <c r="Q8" s="407"/>
    </row>
    <row r="9" spans="1:17" ht="30" customHeight="1" thickBot="1" x14ac:dyDescent="0.35">
      <c r="A9" s="113" t="s">
        <v>45</v>
      </c>
      <c r="B9" s="113" t="s">
        <v>12</v>
      </c>
      <c r="C9" s="161">
        <f>C10+C11+C12+C13</f>
        <v>2930.5</v>
      </c>
      <c r="D9" s="170">
        <f>D10+D11+D12+D13</f>
        <v>1877.5</v>
      </c>
      <c r="E9" s="342">
        <f>E13+F11+G10+G12</f>
        <v>1053</v>
      </c>
      <c r="F9" s="345"/>
      <c r="G9" s="346"/>
      <c r="H9" s="1"/>
      <c r="I9" s="1"/>
      <c r="J9" s="216"/>
      <c r="K9" s="1"/>
      <c r="L9" s="1"/>
      <c r="M9" s="1"/>
      <c r="N9" s="1"/>
      <c r="O9" s="1"/>
      <c r="P9" s="1"/>
      <c r="Q9" s="1"/>
    </row>
    <row r="10" spans="1:17" s="7" customFormat="1" ht="32.4" customHeight="1" thickBot="1" x14ac:dyDescent="0.4">
      <c r="A10" s="6" t="s">
        <v>61</v>
      </c>
      <c r="B10" s="112" t="s">
        <v>7</v>
      </c>
      <c r="C10" s="193">
        <f>D10+E10+F10+G10</f>
        <v>1777</v>
      </c>
      <c r="D10" s="169">
        <f>3*J7+3*K7+4*L7+4*M7+5*N7+5*O7+6*P7+6*Q7</f>
        <v>1185</v>
      </c>
      <c r="E10" s="234"/>
      <c r="F10" s="234"/>
      <c r="G10" s="193">
        <f>J10*J7+K10*K7+L10*L7+M10*M7+N10*N7+O10*O7+P10*P7+Q10*Q7</f>
        <v>592</v>
      </c>
      <c r="H10" s="39" t="s">
        <v>123</v>
      </c>
      <c r="I10" s="39" t="s">
        <v>17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2.5</v>
      </c>
      <c r="P10" s="26">
        <v>2.5</v>
      </c>
      <c r="Q10" s="26">
        <v>3</v>
      </c>
    </row>
    <row r="11" spans="1:17" s="7" customFormat="1" ht="33.6" customHeight="1" thickBot="1" x14ac:dyDescent="0.4">
      <c r="A11" s="6" t="s">
        <v>62</v>
      </c>
      <c r="B11" s="112" t="s">
        <v>19</v>
      </c>
      <c r="C11" s="193">
        <f t="shared" ref="C11:C13" si="0">D11+E11+F11+G11</f>
        <v>412.5</v>
      </c>
      <c r="D11" s="169">
        <f>1.5*M7+1.5*N7+1.5*O7+1.5*P7+1.5*Q7</f>
        <v>247.5</v>
      </c>
      <c r="E11" s="234"/>
      <c r="F11" s="234">
        <f>M11*M7+N11*N7+O11*O7+P11*P7+Q11*Q7</f>
        <v>165</v>
      </c>
      <c r="G11" s="193"/>
      <c r="H11" s="39" t="s">
        <v>126</v>
      </c>
      <c r="I11" s="36"/>
      <c r="J11" s="26"/>
      <c r="K11" s="26"/>
      <c r="L11" s="26"/>
      <c r="M11" s="26">
        <v>1</v>
      </c>
      <c r="N11" s="26">
        <v>1</v>
      </c>
      <c r="O11" s="26">
        <v>1</v>
      </c>
      <c r="P11" s="26">
        <v>1</v>
      </c>
      <c r="Q11" s="26">
        <v>1</v>
      </c>
    </row>
    <row r="12" spans="1:17" s="7" customFormat="1" ht="30" customHeight="1" thickBot="1" x14ac:dyDescent="0.4">
      <c r="A12" s="6" t="s">
        <v>63</v>
      </c>
      <c r="B12" s="112" t="s">
        <v>5</v>
      </c>
      <c r="C12" s="193">
        <f t="shared" si="0"/>
        <v>594</v>
      </c>
      <c r="D12" s="169">
        <f>2*33*6</f>
        <v>396</v>
      </c>
      <c r="E12" s="234"/>
      <c r="F12" s="234"/>
      <c r="G12" s="193">
        <f>P12*P7+Q12*Q7+O12*O7+N12*N7+M12*M7+L12*L7</f>
        <v>198</v>
      </c>
      <c r="H12" s="134" t="s">
        <v>130</v>
      </c>
      <c r="I12" s="36"/>
      <c r="J12" s="26"/>
      <c r="K12" s="26"/>
      <c r="L12" s="26">
        <v>1</v>
      </c>
      <c r="M12" s="26">
        <v>1</v>
      </c>
      <c r="N12" s="4">
        <v>1</v>
      </c>
      <c r="O12" s="26">
        <v>1</v>
      </c>
      <c r="P12" s="26">
        <v>1</v>
      </c>
      <c r="Q12" s="26">
        <v>1</v>
      </c>
    </row>
    <row r="13" spans="1:17" s="7" customFormat="1" ht="30" customHeight="1" thickBot="1" x14ac:dyDescent="0.4">
      <c r="A13" s="6" t="s">
        <v>64</v>
      </c>
      <c r="B13" s="118" t="s">
        <v>15</v>
      </c>
      <c r="C13" s="193">
        <f t="shared" si="0"/>
        <v>147</v>
      </c>
      <c r="D13" s="169">
        <f>0.5*J7+0.5*K7+0.5*L7</f>
        <v>49</v>
      </c>
      <c r="E13" s="234">
        <f>J13*J7+K13*K7+L13*L7+M13*M7+N13*N7+O13*O7+P13*P7+Q13*Q7</f>
        <v>98</v>
      </c>
      <c r="F13" s="234"/>
      <c r="G13" s="193"/>
      <c r="H13" s="131">
        <v>6</v>
      </c>
      <c r="I13" s="36"/>
      <c r="J13" s="26">
        <v>1</v>
      </c>
      <c r="K13" s="26">
        <v>1</v>
      </c>
      <c r="L13" s="26">
        <v>1</v>
      </c>
      <c r="M13" s="26"/>
      <c r="N13" s="26"/>
      <c r="O13" s="26"/>
      <c r="P13" s="26"/>
      <c r="Q13" s="26"/>
    </row>
    <row r="14" spans="1:17" ht="25.95" customHeight="1" thickBot="1" x14ac:dyDescent="0.35">
      <c r="A14" s="113" t="s">
        <v>65</v>
      </c>
      <c r="B14" s="113" t="s">
        <v>0</v>
      </c>
      <c r="C14" s="161">
        <f>C15+C16+C17</f>
        <v>1135</v>
      </c>
      <c r="D14" s="170">
        <f>D15+D16+D17</f>
        <v>477</v>
      </c>
      <c r="E14" s="339">
        <f>F15+F16+F17</f>
        <v>658</v>
      </c>
      <c r="F14" s="340"/>
      <c r="G14" s="34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33.6" customHeight="1" thickBot="1" x14ac:dyDescent="0.4">
      <c r="A15" s="6" t="s">
        <v>66</v>
      </c>
      <c r="B15" s="112" t="s">
        <v>1</v>
      </c>
      <c r="C15" s="193">
        <f>D15+E15+F15+G15</f>
        <v>641.5</v>
      </c>
      <c r="D15" s="169">
        <f>J7+K7+L7+M7+N7+O7+P7+Q7</f>
        <v>263</v>
      </c>
      <c r="E15" s="193"/>
      <c r="F15" s="193">
        <f>J15*J7+K15*K7+L15*L7+M15*M7+N15*N7+O15*O7+P15*P7+Q15*Q7</f>
        <v>378.5</v>
      </c>
      <c r="G15" s="193"/>
      <c r="H15" s="39" t="s">
        <v>124</v>
      </c>
      <c r="I15" s="40">
        <v>12</v>
      </c>
      <c r="J15" s="26">
        <v>1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  <c r="P15" s="26">
        <v>1.5</v>
      </c>
      <c r="Q15" s="26">
        <v>1.5</v>
      </c>
    </row>
    <row r="16" spans="1:17" s="7" customFormat="1" ht="30" customHeight="1" thickBot="1" x14ac:dyDescent="0.4">
      <c r="A16" s="6" t="s">
        <v>67</v>
      </c>
      <c r="B16" s="112" t="s">
        <v>18</v>
      </c>
      <c r="C16" s="193">
        <f t="shared" ref="C16:C17" si="1">D16+E16+F16+G16</f>
        <v>147</v>
      </c>
      <c r="D16" s="169">
        <f>0.5*J7+0.5*K7+0.5*L7</f>
        <v>49</v>
      </c>
      <c r="E16" s="193"/>
      <c r="F16" s="193">
        <f>J16*J7+K16*K7+L16*L7</f>
        <v>98</v>
      </c>
      <c r="G16" s="193"/>
      <c r="H16" s="40">
        <v>6</v>
      </c>
      <c r="I16" s="40"/>
      <c r="J16" s="26">
        <v>1</v>
      </c>
      <c r="K16" s="26">
        <v>1</v>
      </c>
      <c r="L16" s="26">
        <v>1</v>
      </c>
      <c r="M16" s="26"/>
      <c r="N16" s="26"/>
      <c r="O16" s="26"/>
      <c r="P16" s="26"/>
      <c r="Q16" s="26"/>
    </row>
    <row r="17" spans="1:17" s="7" customFormat="1" ht="40.950000000000003" customHeight="1" thickBot="1" x14ac:dyDescent="0.4">
      <c r="A17" s="6" t="s">
        <v>68</v>
      </c>
      <c r="B17" s="41" t="s">
        <v>41</v>
      </c>
      <c r="C17" s="193">
        <f t="shared" si="1"/>
        <v>346.5</v>
      </c>
      <c r="D17" s="169">
        <f>1*M7+1*N7+1*O7+1*P7+1*Q7</f>
        <v>165</v>
      </c>
      <c r="E17" s="193"/>
      <c r="F17" s="193">
        <f>M17*M7+N17*N7+O17*O7+P17*P7+Q17*Q7</f>
        <v>181.5</v>
      </c>
      <c r="G17" s="193"/>
      <c r="H17" s="39" t="s">
        <v>125</v>
      </c>
      <c r="I17" s="40">
        <v>14</v>
      </c>
      <c r="J17" s="26"/>
      <c r="K17" s="26"/>
      <c r="L17" s="26"/>
      <c r="M17" s="26">
        <v>1</v>
      </c>
      <c r="N17" s="26">
        <v>1</v>
      </c>
      <c r="O17" s="26">
        <v>1</v>
      </c>
      <c r="P17" s="26">
        <v>1</v>
      </c>
      <c r="Q17" s="26">
        <v>1.5</v>
      </c>
    </row>
    <row r="18" spans="1:17" s="7" customFormat="1" ht="28.95" customHeight="1" thickBot="1" x14ac:dyDescent="0.4">
      <c r="A18" s="337" t="s">
        <v>171</v>
      </c>
      <c r="B18" s="338"/>
      <c r="C18" s="194"/>
      <c r="D18" s="194"/>
      <c r="E18" s="339">
        <f>E14+E9</f>
        <v>1711</v>
      </c>
      <c r="F18" s="412"/>
      <c r="G18" s="413"/>
      <c r="H18" s="39"/>
      <c r="I18" s="40"/>
      <c r="J18" s="50">
        <f>SUM(J10:J17)</f>
        <v>5</v>
      </c>
      <c r="K18" s="50">
        <f t="shared" ref="K18:Q18" si="2">SUM(K10:K17)</f>
        <v>5.5</v>
      </c>
      <c r="L18" s="50">
        <f t="shared" si="2"/>
        <v>6.5</v>
      </c>
      <c r="M18" s="50">
        <f t="shared" si="2"/>
        <v>6.5</v>
      </c>
      <c r="N18" s="50">
        <f t="shared" si="2"/>
        <v>6.5</v>
      </c>
      <c r="O18" s="50">
        <f t="shared" si="2"/>
        <v>7</v>
      </c>
      <c r="P18" s="50">
        <f t="shared" si="2"/>
        <v>7</v>
      </c>
      <c r="Q18" s="50">
        <f t="shared" si="2"/>
        <v>8</v>
      </c>
    </row>
    <row r="19" spans="1:17" s="7" customFormat="1" ht="28.95" customHeight="1" thickBot="1" x14ac:dyDescent="0.4">
      <c r="A19" s="337" t="s">
        <v>170</v>
      </c>
      <c r="B19" s="338"/>
      <c r="C19" s="125">
        <f>C14+C9</f>
        <v>4065.5</v>
      </c>
      <c r="D19" s="151">
        <f>D14+D9</f>
        <v>2354.5</v>
      </c>
      <c r="E19" s="342">
        <f>E18</f>
        <v>1711</v>
      </c>
      <c r="F19" s="343"/>
      <c r="G19" s="344"/>
      <c r="H19" s="39"/>
      <c r="I19" s="40"/>
      <c r="J19" s="50">
        <f>J18+5</f>
        <v>10</v>
      </c>
      <c r="K19" s="50">
        <f>K18+5</f>
        <v>10.5</v>
      </c>
      <c r="L19" s="50">
        <f>L18+8</f>
        <v>14.5</v>
      </c>
      <c r="M19" s="50">
        <f>M18+9.5</f>
        <v>16</v>
      </c>
      <c r="N19" s="50">
        <f>N18+10.5</f>
        <v>17</v>
      </c>
      <c r="O19" s="50">
        <f>O18+10.5</f>
        <v>17.5</v>
      </c>
      <c r="P19" s="50">
        <f>P18+11.5</f>
        <v>18.5</v>
      </c>
      <c r="Q19" s="50">
        <f>Q18+11.5</f>
        <v>19.5</v>
      </c>
    </row>
    <row r="20" spans="1:17" s="7" customFormat="1" ht="40.950000000000003" customHeight="1" thickBot="1" x14ac:dyDescent="0.4">
      <c r="A20" s="394" t="s">
        <v>172</v>
      </c>
      <c r="B20" s="395"/>
      <c r="C20" s="208"/>
      <c r="D20" s="208"/>
      <c r="E20" s="339"/>
      <c r="F20" s="412"/>
      <c r="G20" s="413"/>
      <c r="H20" s="132">
        <v>37</v>
      </c>
      <c r="I20" s="133">
        <v>9</v>
      </c>
      <c r="J20" s="50"/>
      <c r="K20" s="50"/>
      <c r="L20" s="50"/>
      <c r="M20" s="50"/>
      <c r="N20" s="50"/>
      <c r="O20" s="50"/>
      <c r="P20" s="50"/>
      <c r="Q20" s="50"/>
    </row>
    <row r="21" spans="1:17" ht="30" customHeight="1" thickBot="1" x14ac:dyDescent="0.35">
      <c r="A21" s="114" t="s">
        <v>70</v>
      </c>
      <c r="B21" s="98" t="s">
        <v>2</v>
      </c>
      <c r="C21" s="139">
        <f>C22+C23+C25+C24</f>
        <v>626</v>
      </c>
      <c r="D21" s="98">
        <f>D23+D25+D24</f>
        <v>164.5</v>
      </c>
      <c r="E21" s="416">
        <f>F23+F25+F22+E24</f>
        <v>461.5</v>
      </c>
      <c r="F21" s="387"/>
      <c r="G21" s="388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30" customHeight="1" thickBot="1" x14ac:dyDescent="0.4">
      <c r="A22" s="6" t="s">
        <v>155</v>
      </c>
      <c r="B22" s="37" t="s">
        <v>119</v>
      </c>
      <c r="C22" s="169">
        <f>E22+F22+G22</f>
        <v>99</v>
      </c>
      <c r="D22" s="169" t="s">
        <v>163</v>
      </c>
      <c r="E22" s="195"/>
      <c r="F22" s="226">
        <f>K22*K7+L22*L7+M22*M7+N22*N7+O22*O7+P22*P7</f>
        <v>99</v>
      </c>
      <c r="G22" s="226"/>
      <c r="H22" s="24"/>
      <c r="I22" s="2"/>
      <c r="J22" s="2"/>
      <c r="K22" s="4">
        <v>0.5</v>
      </c>
      <c r="L22" s="4">
        <v>0.5</v>
      </c>
      <c r="M22" s="4">
        <v>0.5</v>
      </c>
      <c r="N22" s="4">
        <v>0.5</v>
      </c>
      <c r="O22" s="4">
        <v>0.5</v>
      </c>
      <c r="P22" s="4">
        <v>0.5</v>
      </c>
      <c r="Q22" s="4"/>
    </row>
    <row r="23" spans="1:17" s="7" customFormat="1" ht="30" customHeight="1" thickBot="1" x14ac:dyDescent="0.4">
      <c r="A23" s="6" t="s">
        <v>156</v>
      </c>
      <c r="B23" s="37" t="s">
        <v>3</v>
      </c>
      <c r="C23" s="193">
        <f t="shared" ref="C23:C25" si="3">D23+E23+F23+G23</f>
        <v>33</v>
      </c>
      <c r="D23" s="169">
        <f>F23</f>
        <v>16.5</v>
      </c>
      <c r="E23" s="195"/>
      <c r="F23" s="226">
        <f>Q23*Q7</f>
        <v>16.5</v>
      </c>
      <c r="G23" s="226"/>
      <c r="H23" s="40">
        <v>16</v>
      </c>
      <c r="I23" s="2"/>
      <c r="J23" s="2"/>
      <c r="K23" s="4"/>
      <c r="L23" s="4"/>
      <c r="M23" s="4"/>
      <c r="N23" s="4"/>
      <c r="O23" s="4"/>
      <c r="P23" s="4"/>
      <c r="Q23" s="4">
        <v>0.5</v>
      </c>
    </row>
    <row r="24" spans="1:17" s="7" customFormat="1" ht="30" customHeight="1" thickBot="1" x14ac:dyDescent="0.4">
      <c r="A24" s="6" t="s">
        <v>157</v>
      </c>
      <c r="B24" s="126" t="s">
        <v>22</v>
      </c>
      <c r="C24" s="193">
        <f>D24+E24+F24+G24</f>
        <v>330</v>
      </c>
      <c r="D24" s="320">
        <f>0.5*33*4</f>
        <v>66</v>
      </c>
      <c r="E24" s="193">
        <f>J24*J7+K24*K7+L24*L7+M24*M7+N24*N7+O24*O7+P24*P7+Q24*Q7</f>
        <v>264</v>
      </c>
      <c r="F24" s="193"/>
      <c r="G24" s="320"/>
      <c r="H24" s="213" t="s">
        <v>128</v>
      </c>
      <c r="I24" s="2"/>
      <c r="J24" s="4"/>
      <c r="K24" s="4"/>
      <c r="L24" s="4"/>
      <c r="M24" s="4"/>
      <c r="N24" s="4">
        <v>2</v>
      </c>
      <c r="O24" s="4">
        <v>2</v>
      </c>
      <c r="P24" s="4">
        <v>2</v>
      </c>
      <c r="Q24" s="4">
        <v>2</v>
      </c>
    </row>
    <row r="25" spans="1:17" s="7" customFormat="1" ht="30" customHeight="1" thickBot="1" x14ac:dyDescent="0.4">
      <c r="A25" s="189" t="s">
        <v>71</v>
      </c>
      <c r="B25" s="189" t="s">
        <v>19</v>
      </c>
      <c r="C25" s="193">
        <f t="shared" si="3"/>
        <v>164</v>
      </c>
      <c r="D25" s="169">
        <f>J25*J7+1*K7+1*L7</f>
        <v>82</v>
      </c>
      <c r="E25" s="226"/>
      <c r="F25" s="226">
        <f>K25*K7+L25*L7+J25*J7</f>
        <v>82</v>
      </c>
      <c r="G25" s="189"/>
      <c r="H25" s="214" t="s">
        <v>129</v>
      </c>
      <c r="I25" s="169"/>
      <c r="J25" s="169">
        <v>0.5</v>
      </c>
      <c r="K25" s="193">
        <v>1</v>
      </c>
      <c r="L25" s="193">
        <v>1</v>
      </c>
      <c r="M25" s="193"/>
      <c r="N25" s="193"/>
      <c r="O25" s="193"/>
      <c r="P25" s="193"/>
      <c r="Q25" s="193"/>
    </row>
    <row r="26" spans="1:17" s="7" customFormat="1" ht="30" customHeight="1" thickBot="1" x14ac:dyDescent="0.4">
      <c r="A26" s="347" t="s">
        <v>72</v>
      </c>
      <c r="B26" s="348"/>
      <c r="C26" s="208"/>
      <c r="D26" s="168"/>
      <c r="E26" s="386">
        <f>E18+E21</f>
        <v>2172.5</v>
      </c>
      <c r="F26" s="387"/>
      <c r="G26" s="388"/>
      <c r="H26" s="71"/>
      <c r="I26" s="71"/>
      <c r="J26" s="72">
        <f>J18+J23+J25+J22</f>
        <v>5.5</v>
      </c>
      <c r="K26" s="72">
        <f t="shared" ref="K26:Q26" si="4">K18+K23+K25+K22</f>
        <v>7</v>
      </c>
      <c r="L26" s="72">
        <f t="shared" si="4"/>
        <v>8</v>
      </c>
      <c r="M26" s="72">
        <f t="shared" si="4"/>
        <v>7</v>
      </c>
      <c r="N26" s="72">
        <f t="shared" si="4"/>
        <v>7</v>
      </c>
      <c r="O26" s="72">
        <f t="shared" si="4"/>
        <v>7.5</v>
      </c>
      <c r="P26" s="72">
        <f t="shared" si="4"/>
        <v>7.5</v>
      </c>
      <c r="Q26" s="72">
        <f t="shared" si="4"/>
        <v>8.5</v>
      </c>
    </row>
    <row r="27" spans="1:17" s="7" customFormat="1" ht="30" customHeight="1" thickBot="1" x14ac:dyDescent="0.4">
      <c r="A27" s="394" t="s">
        <v>164</v>
      </c>
      <c r="B27" s="395"/>
      <c r="C27" s="211">
        <f>C19+C21</f>
        <v>4691.5</v>
      </c>
      <c r="D27" s="210">
        <f>D19+D21</f>
        <v>2519</v>
      </c>
      <c r="E27" s="342">
        <f>E26</f>
        <v>2172.5</v>
      </c>
      <c r="F27" s="343"/>
      <c r="G27" s="344"/>
      <c r="H27" s="169"/>
      <c r="I27" s="169"/>
      <c r="J27" s="139">
        <f>J19+J22+J23+J25</f>
        <v>10.5</v>
      </c>
      <c r="K27" s="139">
        <f t="shared" ref="K27:Q27" si="5">K19+K22+K23+K25</f>
        <v>12</v>
      </c>
      <c r="L27" s="139">
        <f t="shared" si="5"/>
        <v>16</v>
      </c>
      <c r="M27" s="139">
        <f t="shared" si="5"/>
        <v>16.5</v>
      </c>
      <c r="N27" s="139">
        <f t="shared" si="5"/>
        <v>17.5</v>
      </c>
      <c r="O27" s="139">
        <f t="shared" si="5"/>
        <v>18</v>
      </c>
      <c r="P27" s="139">
        <f t="shared" si="5"/>
        <v>19</v>
      </c>
      <c r="Q27" s="139">
        <f t="shared" si="5"/>
        <v>20</v>
      </c>
    </row>
    <row r="28" spans="1:17" s="7" customFormat="1" ht="30" customHeight="1" thickBot="1" x14ac:dyDescent="0.4">
      <c r="A28" s="354" t="s">
        <v>173</v>
      </c>
      <c r="B28" s="355"/>
      <c r="C28" s="209"/>
      <c r="D28" s="167"/>
      <c r="E28" s="359"/>
      <c r="F28" s="360"/>
      <c r="G28" s="361"/>
      <c r="H28" s="79">
        <v>48</v>
      </c>
      <c r="I28" s="79">
        <v>9</v>
      </c>
      <c r="J28" s="80"/>
      <c r="K28" s="80"/>
      <c r="L28" s="80"/>
      <c r="M28" s="80"/>
      <c r="N28" s="80"/>
      <c r="O28" s="80"/>
      <c r="P28" s="80"/>
      <c r="Q28" s="80"/>
    </row>
    <row r="29" spans="1:17" s="7" customFormat="1" ht="29.4" customHeight="1" thickTop="1" thickBot="1" x14ac:dyDescent="0.4">
      <c r="A29" s="116" t="s">
        <v>73</v>
      </c>
      <c r="B29" s="97" t="s">
        <v>74</v>
      </c>
      <c r="C29" s="362">
        <f>E29</f>
        <v>192</v>
      </c>
      <c r="D29" s="421"/>
      <c r="E29" s="362">
        <f>E32+F34+F31+G30+F35+G33</f>
        <v>192</v>
      </c>
      <c r="F29" s="363"/>
      <c r="G29" s="364"/>
      <c r="H29" s="74"/>
      <c r="I29" s="74"/>
      <c r="J29" s="403" t="s">
        <v>91</v>
      </c>
      <c r="K29" s="420"/>
      <c r="L29" s="420"/>
      <c r="M29" s="420"/>
      <c r="N29" s="420"/>
      <c r="O29" s="420"/>
      <c r="P29" s="420"/>
      <c r="Q29" s="404"/>
    </row>
    <row r="30" spans="1:17" s="7" customFormat="1" ht="30" customHeight="1" thickBot="1" x14ac:dyDescent="0.4">
      <c r="A30" s="6" t="s">
        <v>75</v>
      </c>
      <c r="B30" s="69" t="s">
        <v>7</v>
      </c>
      <c r="C30" s="124"/>
      <c r="D30" s="124"/>
      <c r="E30" s="193"/>
      <c r="F30" s="193"/>
      <c r="G30" s="193">
        <f>J30+K30+L30+M30+N30+O30+P30+Q30</f>
        <v>76</v>
      </c>
      <c r="H30" s="5"/>
      <c r="I30" s="5"/>
      <c r="J30" s="4">
        <v>6</v>
      </c>
      <c r="K30" s="4">
        <v>8</v>
      </c>
      <c r="L30" s="4">
        <v>8</v>
      </c>
      <c r="M30" s="4">
        <v>8</v>
      </c>
      <c r="N30" s="4">
        <v>10</v>
      </c>
      <c r="O30" s="4">
        <v>10</v>
      </c>
      <c r="P30" s="4">
        <v>12</v>
      </c>
      <c r="Q30" s="4">
        <v>14</v>
      </c>
    </row>
    <row r="31" spans="1:17" s="7" customFormat="1" ht="30" customHeight="1" thickBot="1" x14ac:dyDescent="0.4">
      <c r="A31" s="6" t="s">
        <v>76</v>
      </c>
      <c r="B31" s="69" t="s">
        <v>95</v>
      </c>
      <c r="C31" s="124"/>
      <c r="D31" s="124"/>
      <c r="E31" s="193"/>
      <c r="F31" s="193">
        <f>K31+L31+M31+N31+O31+P31+Q31+J31</f>
        <v>54</v>
      </c>
      <c r="G31" s="193"/>
      <c r="H31" s="5"/>
      <c r="I31" s="5"/>
      <c r="J31" s="4">
        <v>2</v>
      </c>
      <c r="K31" s="4">
        <v>4</v>
      </c>
      <c r="L31" s="4">
        <v>4</v>
      </c>
      <c r="M31" s="4">
        <v>6</v>
      </c>
      <c r="N31" s="4">
        <v>8</v>
      </c>
      <c r="O31" s="4">
        <v>8</v>
      </c>
      <c r="P31" s="4">
        <v>10</v>
      </c>
      <c r="Q31" s="4">
        <v>12</v>
      </c>
    </row>
    <row r="32" spans="1:17" s="7" customFormat="1" ht="30" customHeight="1" thickBot="1" x14ac:dyDescent="0.4">
      <c r="A32" s="6" t="s">
        <v>77</v>
      </c>
      <c r="B32" s="69" t="s">
        <v>96</v>
      </c>
      <c r="C32" s="124"/>
      <c r="D32" s="124"/>
      <c r="E32" s="193">
        <f>J32+K32+L32+M32+N32+O32+P32+Q32</f>
        <v>6</v>
      </c>
      <c r="F32" s="193"/>
      <c r="G32" s="193"/>
      <c r="H32" s="5"/>
      <c r="I32" s="5"/>
      <c r="J32" s="4">
        <v>2</v>
      </c>
      <c r="K32" s="4">
        <v>2</v>
      </c>
      <c r="L32" s="4">
        <v>2</v>
      </c>
      <c r="M32" s="4"/>
      <c r="N32" s="4"/>
      <c r="O32" s="4"/>
      <c r="P32" s="4"/>
      <c r="Q32" s="4"/>
    </row>
    <row r="33" spans="1:17" s="7" customFormat="1" ht="30" customHeight="1" thickBot="1" x14ac:dyDescent="0.4">
      <c r="A33" s="6" t="s">
        <v>78</v>
      </c>
      <c r="B33" s="69" t="s">
        <v>5</v>
      </c>
      <c r="C33" s="124"/>
      <c r="D33" s="124"/>
      <c r="E33" s="193"/>
      <c r="F33" s="193"/>
      <c r="G33" s="193">
        <f>J33+K33+L33+M33+N33+O33+P33+Q33</f>
        <v>24</v>
      </c>
      <c r="H33" s="5"/>
      <c r="I33" s="5"/>
      <c r="J33" s="4"/>
      <c r="K33" s="4"/>
      <c r="L33" s="4">
        <v>4</v>
      </c>
      <c r="M33" s="4">
        <v>4</v>
      </c>
      <c r="N33" s="4">
        <v>4</v>
      </c>
      <c r="O33" s="4">
        <v>4</v>
      </c>
      <c r="P33" s="4">
        <v>4</v>
      </c>
      <c r="Q33" s="4">
        <v>4</v>
      </c>
    </row>
    <row r="34" spans="1:17" s="7" customFormat="1" ht="30" customHeight="1" thickBot="1" x14ac:dyDescent="0.4">
      <c r="A34" s="6" t="s">
        <v>79</v>
      </c>
      <c r="B34" s="69" t="s">
        <v>1</v>
      </c>
      <c r="C34" s="124"/>
      <c r="D34" s="124"/>
      <c r="E34" s="193"/>
      <c r="F34" s="193">
        <f>J34+K34+L34+M34+N34+O34+P34+Q34</f>
        <v>22</v>
      </c>
      <c r="G34" s="193"/>
      <c r="H34" s="5"/>
      <c r="I34" s="5"/>
      <c r="J34" s="4"/>
      <c r="K34" s="4">
        <v>2</v>
      </c>
      <c r="L34" s="4">
        <v>2</v>
      </c>
      <c r="M34" s="4">
        <v>2</v>
      </c>
      <c r="N34" s="4">
        <v>4</v>
      </c>
      <c r="O34" s="4">
        <v>4</v>
      </c>
      <c r="P34" s="4">
        <v>4</v>
      </c>
      <c r="Q34" s="4">
        <v>4</v>
      </c>
    </row>
    <row r="35" spans="1:17" s="7" customFormat="1" ht="30" customHeight="1" thickBot="1" x14ac:dyDescent="0.4">
      <c r="A35" s="6" t="s">
        <v>110</v>
      </c>
      <c r="B35" s="69" t="s">
        <v>98</v>
      </c>
      <c r="C35" s="124"/>
      <c r="D35" s="184"/>
      <c r="E35" s="63"/>
      <c r="F35" s="93">
        <f>J35+K35+L35+M35+N35+O35+P35+Q35</f>
        <v>10</v>
      </c>
      <c r="G35" s="94"/>
      <c r="H35" s="5"/>
      <c r="I35" s="5"/>
      <c r="J35" s="4"/>
      <c r="K35" s="4"/>
      <c r="L35" s="4"/>
      <c r="M35" s="4"/>
      <c r="N35" s="4">
        <v>2</v>
      </c>
      <c r="O35" s="4">
        <v>2</v>
      </c>
      <c r="P35" s="4">
        <v>2</v>
      </c>
      <c r="Q35" s="4">
        <v>4</v>
      </c>
    </row>
    <row r="36" spans="1:17" s="90" customFormat="1" ht="30" customHeight="1" thickBot="1" x14ac:dyDescent="0.4">
      <c r="A36" s="365" t="s">
        <v>148</v>
      </c>
      <c r="B36" s="366"/>
      <c r="C36" s="185"/>
      <c r="D36" s="185"/>
      <c r="E36" s="87"/>
      <c r="F36" s="88"/>
      <c r="G36" s="89"/>
      <c r="H36" s="78"/>
      <c r="I36" s="78"/>
      <c r="J36" s="5">
        <f>SUM(J30:J35)</f>
        <v>10</v>
      </c>
      <c r="K36" s="5">
        <f t="shared" ref="K36:M36" si="6">SUM(K30:K35)</f>
        <v>16</v>
      </c>
      <c r="L36" s="5">
        <f t="shared" si="6"/>
        <v>20</v>
      </c>
      <c r="M36" s="5">
        <f t="shared" si="6"/>
        <v>20</v>
      </c>
      <c r="N36" s="5">
        <f>SUM(N30:N35)</f>
        <v>28</v>
      </c>
      <c r="O36" s="5">
        <f>SUM(O30:O35)</f>
        <v>28</v>
      </c>
      <c r="P36" s="5">
        <f>SUM(P30:P35)</f>
        <v>32</v>
      </c>
      <c r="Q36" s="5">
        <f>SUM(Q30:Q35)</f>
        <v>38</v>
      </c>
    </row>
    <row r="37" spans="1:17" s="7" customFormat="1" ht="30" customHeight="1" thickBot="1" x14ac:dyDescent="0.4">
      <c r="A37" s="81"/>
      <c r="B37" s="82"/>
      <c r="C37" s="17"/>
      <c r="D37" s="17"/>
      <c r="E37" s="17"/>
      <c r="F37" s="218"/>
      <c r="G37" s="20"/>
      <c r="H37" s="17"/>
      <c r="I37" s="17"/>
      <c r="J37" s="19"/>
      <c r="K37" s="19"/>
      <c r="L37" s="19"/>
      <c r="M37" s="19"/>
      <c r="N37" s="19"/>
      <c r="O37" s="19"/>
      <c r="P37" s="19"/>
      <c r="Q37" s="86"/>
    </row>
    <row r="38" spans="1:17" s="7" customFormat="1" ht="30" customHeight="1" x14ac:dyDescent="0.35">
      <c r="A38" s="117" t="s">
        <v>80</v>
      </c>
      <c r="B38" s="77" t="s">
        <v>83</v>
      </c>
      <c r="C38" s="186"/>
      <c r="D38" s="186"/>
      <c r="E38" s="332" t="s">
        <v>94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4"/>
    </row>
    <row r="39" spans="1:17" s="7" customFormat="1" ht="30" customHeight="1" x14ac:dyDescent="0.35">
      <c r="A39" s="122" t="s">
        <v>81</v>
      </c>
      <c r="B39" s="75" t="s">
        <v>82</v>
      </c>
      <c r="C39" s="275">
        <f>J39+K39+L39+M39+N39+O39+P39</f>
        <v>7</v>
      </c>
      <c r="D39" s="75"/>
      <c r="E39" s="95"/>
      <c r="F39" s="53"/>
      <c r="G39" s="75"/>
      <c r="H39" s="53"/>
      <c r="I39" s="53"/>
      <c r="J39" s="95">
        <v>1</v>
      </c>
      <c r="K39" s="95">
        <v>1</v>
      </c>
      <c r="L39" s="95">
        <v>1</v>
      </c>
      <c r="M39" s="95">
        <v>1</v>
      </c>
      <c r="N39" s="95">
        <v>1</v>
      </c>
      <c r="O39" s="95">
        <v>1</v>
      </c>
      <c r="P39" s="95">
        <v>1</v>
      </c>
      <c r="Q39" s="96"/>
    </row>
    <row r="40" spans="1:17" s="7" customFormat="1" ht="30" customHeight="1" x14ac:dyDescent="0.35">
      <c r="A40" s="122" t="s">
        <v>84</v>
      </c>
      <c r="B40" s="75" t="s">
        <v>85</v>
      </c>
      <c r="C40" s="75">
        <f>C41+C42+C43</f>
        <v>2</v>
      </c>
      <c r="D40" s="75"/>
      <c r="E40" s="53"/>
      <c r="F40" s="53"/>
      <c r="G40" s="75"/>
      <c r="H40" s="53"/>
      <c r="I40" s="53"/>
      <c r="J40" s="95"/>
      <c r="K40" s="95"/>
      <c r="L40" s="95"/>
      <c r="M40" s="95"/>
      <c r="N40" s="95"/>
      <c r="O40" s="95"/>
      <c r="P40" s="95"/>
      <c r="Q40" s="96">
        <v>2</v>
      </c>
    </row>
    <row r="41" spans="1:17" s="7" customFormat="1" ht="30" customHeight="1" x14ac:dyDescent="0.35">
      <c r="A41" s="122" t="s">
        <v>86</v>
      </c>
      <c r="B41" s="75" t="s">
        <v>89</v>
      </c>
      <c r="C41" s="75">
        <v>1</v>
      </c>
      <c r="D41" s="75"/>
      <c r="E41" s="53"/>
      <c r="F41" s="53"/>
      <c r="G41" s="75"/>
      <c r="H41" s="53"/>
      <c r="I41" s="53"/>
      <c r="J41" s="61"/>
      <c r="K41" s="61"/>
      <c r="L41" s="61"/>
      <c r="M41" s="61"/>
      <c r="N41" s="61"/>
      <c r="O41" s="61"/>
      <c r="P41" s="61"/>
      <c r="Q41" s="62"/>
    </row>
    <row r="42" spans="1:17" s="7" customFormat="1" ht="30" customHeight="1" x14ac:dyDescent="0.35">
      <c r="A42" s="122" t="s">
        <v>87</v>
      </c>
      <c r="B42" s="75" t="s">
        <v>1</v>
      </c>
      <c r="C42" s="75">
        <v>0.5</v>
      </c>
      <c r="D42" s="75"/>
      <c r="E42" s="53"/>
      <c r="F42" s="53"/>
      <c r="G42" s="75"/>
      <c r="H42" s="53"/>
      <c r="I42" s="53"/>
      <c r="J42" s="61"/>
      <c r="K42" s="61"/>
      <c r="L42" s="61"/>
      <c r="M42" s="61"/>
      <c r="N42" s="61"/>
      <c r="O42" s="61"/>
      <c r="P42" s="61"/>
      <c r="Q42" s="62"/>
    </row>
    <row r="43" spans="1:17" s="7" customFormat="1" ht="30" customHeight="1" thickBot="1" x14ac:dyDescent="0.4">
      <c r="A43" s="123" t="s">
        <v>88</v>
      </c>
      <c r="B43" s="100" t="s">
        <v>41</v>
      </c>
      <c r="C43" s="100">
        <v>0.5</v>
      </c>
      <c r="D43" s="100"/>
      <c r="E43" s="101"/>
      <c r="F43" s="101"/>
      <c r="G43" s="100"/>
      <c r="H43" s="101"/>
      <c r="I43" s="101"/>
      <c r="J43" s="91"/>
      <c r="K43" s="91"/>
      <c r="L43" s="91"/>
      <c r="M43" s="91"/>
      <c r="N43" s="91"/>
      <c r="O43" s="91"/>
      <c r="P43" s="91"/>
      <c r="Q43" s="102"/>
    </row>
    <row r="44" spans="1:17" s="7" customFormat="1" ht="30" customHeight="1" thickBot="1" x14ac:dyDescent="0.4">
      <c r="A44" s="335" t="s">
        <v>93</v>
      </c>
      <c r="B44" s="336"/>
      <c r="C44" s="276">
        <v>8</v>
      </c>
      <c r="D44" s="165"/>
      <c r="E44" s="103"/>
      <c r="F44" s="104"/>
      <c r="G44" s="105"/>
      <c r="H44" s="104"/>
      <c r="I44" s="104"/>
      <c r="J44" s="106"/>
      <c r="K44" s="106"/>
      <c r="L44" s="106"/>
      <c r="M44" s="106"/>
      <c r="N44" s="106"/>
      <c r="O44" s="106"/>
      <c r="P44" s="106"/>
      <c r="Q44" s="107"/>
    </row>
    <row r="45" spans="1:17" ht="40.200000000000003" customHeight="1" x14ac:dyDescent="0.3">
      <c r="A45" s="20"/>
      <c r="B45" s="21"/>
      <c r="C45" s="21"/>
      <c r="D45" s="21"/>
      <c r="E45" s="17"/>
      <c r="F45" s="18"/>
      <c r="G45" s="19"/>
      <c r="H45" s="17"/>
      <c r="I45" s="18"/>
      <c r="J45" s="19"/>
      <c r="K45" s="19"/>
      <c r="L45" s="19"/>
      <c r="M45" s="19"/>
      <c r="N45" s="19"/>
      <c r="O45" s="19"/>
      <c r="P45" s="17"/>
      <c r="Q45" s="17"/>
    </row>
    <row r="46" spans="1:17" ht="18" x14ac:dyDescent="0.3">
      <c r="A46" s="370"/>
      <c r="B46" s="370"/>
      <c r="C46" s="159"/>
      <c r="D46" s="159"/>
      <c r="E46" s="17"/>
      <c r="F46" s="18"/>
      <c r="G46" s="21"/>
      <c r="H46" s="17"/>
      <c r="I46" s="18"/>
      <c r="J46" s="21"/>
      <c r="K46" s="17"/>
      <c r="L46" s="17"/>
      <c r="M46" s="17"/>
      <c r="N46" s="17"/>
      <c r="O46" s="17"/>
      <c r="P46" s="17"/>
      <c r="Q46" s="17"/>
    </row>
    <row r="47" spans="1:17" ht="40.200000000000003" customHeight="1" x14ac:dyDescent="0.3">
      <c r="A47" s="20"/>
      <c r="B47" s="21"/>
      <c r="C47" s="21"/>
      <c r="D47" s="21"/>
      <c r="E47" s="17"/>
      <c r="F47" s="18"/>
      <c r="G47" s="19"/>
      <c r="H47" s="17"/>
      <c r="I47" s="18"/>
      <c r="J47" s="19"/>
      <c r="K47" s="19"/>
      <c r="L47" s="19"/>
      <c r="M47" s="19"/>
      <c r="N47" s="19"/>
      <c r="O47" s="19"/>
      <c r="P47" s="17"/>
      <c r="Q47" s="17"/>
    </row>
    <row r="48" spans="1:17" ht="40.200000000000003" customHeight="1" x14ac:dyDescent="0.3">
      <c r="A48" s="17"/>
      <c r="B48" s="22"/>
      <c r="C48" s="22"/>
      <c r="D48" s="22"/>
      <c r="E48" s="23"/>
      <c r="F48" s="18"/>
      <c r="G48" s="23"/>
      <c r="H48" s="23"/>
      <c r="I48" s="18"/>
      <c r="J48" s="23"/>
      <c r="K48" s="23"/>
      <c r="L48" s="23"/>
      <c r="M48" s="23"/>
      <c r="N48" s="23"/>
      <c r="O48" s="23"/>
      <c r="P48" s="23"/>
      <c r="Q48" s="23"/>
    </row>
  </sheetData>
  <mergeCells count="38">
    <mergeCell ref="E38:Q38"/>
    <mergeCell ref="A44:B44"/>
    <mergeCell ref="A46:B46"/>
    <mergeCell ref="A26:B26"/>
    <mergeCell ref="E26:G26"/>
    <mergeCell ref="E29:G29"/>
    <mergeCell ref="J29:Q29"/>
    <mergeCell ref="A36:B36"/>
    <mergeCell ref="A27:B27"/>
    <mergeCell ref="E27:G27"/>
    <mergeCell ref="C29:D29"/>
    <mergeCell ref="H6:H7"/>
    <mergeCell ref="I6:I7"/>
    <mergeCell ref="J6:Q6"/>
    <mergeCell ref="E8:G8"/>
    <mergeCell ref="J8:Q8"/>
    <mergeCell ref="A2:Q2"/>
    <mergeCell ref="A3:A4"/>
    <mergeCell ref="B3:B4"/>
    <mergeCell ref="E3:G3"/>
    <mergeCell ref="H3:I3"/>
    <mergeCell ref="J3:Q3"/>
    <mergeCell ref="A20:B20"/>
    <mergeCell ref="A28:B28"/>
    <mergeCell ref="E28:G28"/>
    <mergeCell ref="E20:G20"/>
    <mergeCell ref="A6:A7"/>
    <mergeCell ref="B6:B7"/>
    <mergeCell ref="E6:G7"/>
    <mergeCell ref="E9:G9"/>
    <mergeCell ref="E14:G14"/>
    <mergeCell ref="A18:B18"/>
    <mergeCell ref="E18:G18"/>
    <mergeCell ref="E21:G21"/>
    <mergeCell ref="A19:B19"/>
    <mergeCell ref="E19:G19"/>
    <mergeCell ref="C6:C7"/>
    <mergeCell ref="D6:D7"/>
  </mergeCells>
  <printOptions horizontalCentered="1"/>
  <pageMargins left="0.51181102362204722" right="0.51181102362204722" top="0.35433070866141736" bottom="0.35433070866141736" header="0.11811023622047245" footer="0.11811023622047245"/>
  <pageSetup paperSize="9" scale="57" fitToHeight="2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view="pageBreakPreview" topLeftCell="A22" zoomScale="60" zoomScaleNormal="100" workbookViewId="0">
      <selection activeCell="T33" sqref="T33"/>
    </sheetView>
  </sheetViews>
  <sheetFormatPr defaultRowHeight="14.4" x14ac:dyDescent="0.3"/>
  <cols>
    <col min="1" max="1" width="19.5546875" customWidth="1"/>
    <col min="2" max="2" width="60.5546875" customWidth="1"/>
    <col min="3" max="4" width="10" customWidth="1"/>
    <col min="5" max="5" width="8" customWidth="1"/>
    <col min="6" max="6" width="8.33203125" customWidth="1"/>
    <col min="7" max="7" width="8.109375" customWidth="1"/>
    <col min="8" max="8" width="16.33203125" customWidth="1"/>
    <col min="9" max="9" width="13.44140625" customWidth="1"/>
    <col min="10" max="17" width="7" customWidth="1"/>
  </cols>
  <sheetData>
    <row r="1" spans="1:17" s="29" customFormat="1" ht="27" customHeight="1" x14ac:dyDescent="0.4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8"/>
      <c r="Q1" s="28"/>
    </row>
    <row r="2" spans="1:17" ht="27.6" customHeight="1" thickBot="1" x14ac:dyDescent="0.35">
      <c r="A2" s="369" t="s">
        <v>143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65.400000000000006" customHeight="1" thickBot="1" x14ac:dyDescent="0.35">
      <c r="A3" s="371" t="s">
        <v>46</v>
      </c>
      <c r="B3" s="373" t="s">
        <v>42</v>
      </c>
      <c r="C3" s="182" t="s">
        <v>158</v>
      </c>
      <c r="D3" s="182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  <c r="O3" s="376"/>
      <c r="P3" s="376"/>
      <c r="Q3" s="376"/>
    </row>
    <row r="4" spans="1:17" ht="73.2" customHeight="1" thickBot="1" x14ac:dyDescent="0.35">
      <c r="A4" s="372"/>
      <c r="B4" s="374"/>
      <c r="C4" s="43" t="s">
        <v>160</v>
      </c>
      <c r="D4" s="43" t="s">
        <v>160</v>
      </c>
      <c r="E4" s="42" t="s">
        <v>118</v>
      </c>
      <c r="F4" s="43" t="s">
        <v>48</v>
      </c>
      <c r="G4" s="42" t="s">
        <v>49</v>
      </c>
      <c r="H4" s="16" t="s">
        <v>21</v>
      </c>
      <c r="I4" s="3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  <c r="O4" s="42" t="s">
        <v>59</v>
      </c>
      <c r="P4" s="42" t="s">
        <v>60</v>
      </c>
      <c r="Q4" s="42" t="s">
        <v>90</v>
      </c>
    </row>
    <row r="5" spans="1:17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8">
        <v>17</v>
      </c>
    </row>
    <row r="6" spans="1:17" ht="19.2" customHeight="1" thickBot="1" x14ac:dyDescent="0.35">
      <c r="A6" s="384"/>
      <c r="B6" s="414" t="s">
        <v>43</v>
      </c>
      <c r="C6" s="414" t="s">
        <v>187</v>
      </c>
      <c r="D6" s="414" t="s">
        <v>188</v>
      </c>
      <c r="E6" s="386" t="s">
        <v>186</v>
      </c>
      <c r="F6" s="387"/>
      <c r="G6" s="388"/>
      <c r="H6" s="384"/>
      <c r="I6" s="384"/>
      <c r="J6" s="380" t="s">
        <v>52</v>
      </c>
      <c r="K6" s="381"/>
      <c r="L6" s="381"/>
      <c r="M6" s="381"/>
      <c r="N6" s="381"/>
      <c r="O6" s="381"/>
      <c r="P6" s="381"/>
      <c r="Q6" s="381"/>
    </row>
    <row r="7" spans="1:17" ht="21" customHeight="1" thickBot="1" x14ac:dyDescent="0.35">
      <c r="A7" s="385"/>
      <c r="B7" s="415"/>
      <c r="C7" s="415"/>
      <c r="D7" s="415"/>
      <c r="E7" s="389"/>
      <c r="F7" s="390"/>
      <c r="G7" s="391"/>
      <c r="H7" s="419"/>
      <c r="I7" s="419"/>
      <c r="J7" s="44">
        <v>32</v>
      </c>
      <c r="K7" s="44">
        <v>33</v>
      </c>
      <c r="L7" s="44">
        <v>33</v>
      </c>
      <c r="M7" s="44">
        <v>33</v>
      </c>
      <c r="N7" s="44">
        <v>33</v>
      </c>
      <c r="O7" s="44">
        <v>33</v>
      </c>
      <c r="P7" s="44">
        <v>33</v>
      </c>
      <c r="Q7" s="45">
        <v>33</v>
      </c>
    </row>
    <row r="8" spans="1:17" ht="30" customHeight="1" thickBot="1" x14ac:dyDescent="0.35">
      <c r="A8" s="3"/>
      <c r="B8" s="99" t="s">
        <v>44</v>
      </c>
      <c r="C8" s="233">
        <f>C9+C14+C30</f>
        <v>3553</v>
      </c>
      <c r="D8" s="284">
        <f>D9+D14</f>
        <v>1778</v>
      </c>
      <c r="E8" s="342">
        <f>E18+E30</f>
        <v>1775</v>
      </c>
      <c r="F8" s="345"/>
      <c r="G8" s="346"/>
      <c r="H8" s="16"/>
      <c r="I8" s="3"/>
      <c r="J8" s="330" t="s">
        <v>51</v>
      </c>
      <c r="K8" s="331"/>
      <c r="L8" s="331"/>
      <c r="M8" s="331"/>
      <c r="N8" s="331"/>
      <c r="O8" s="331"/>
      <c r="P8" s="331"/>
      <c r="Q8" s="331"/>
    </row>
    <row r="9" spans="1:17" ht="30" customHeight="1" thickBot="1" x14ac:dyDescent="0.35">
      <c r="A9" s="113" t="s">
        <v>45</v>
      </c>
      <c r="B9" s="113" t="s">
        <v>12</v>
      </c>
      <c r="C9" s="171">
        <f>C10+C11+C12+C13</f>
        <v>2222</v>
      </c>
      <c r="D9" s="171">
        <f>SUM(D10:D13)</f>
        <v>1301</v>
      </c>
      <c r="E9" s="342">
        <f>E13+F11+G10+G12</f>
        <v>921</v>
      </c>
      <c r="F9" s="345"/>
      <c r="G9" s="346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7" customFormat="1" ht="30" customHeight="1" thickBot="1" x14ac:dyDescent="0.4">
      <c r="A10" s="6" t="s">
        <v>61</v>
      </c>
      <c r="B10" s="112" t="s">
        <v>7</v>
      </c>
      <c r="C10" s="217">
        <f t="shared" ref="C10:C15" si="0">SUM(D10:G10)</f>
        <v>1316</v>
      </c>
      <c r="D10" s="175">
        <f>2*J7+2*K7+2*L7+3*M7+3*N7+3*O7+4*P7+4*Q7</f>
        <v>757</v>
      </c>
      <c r="E10" s="234"/>
      <c r="F10" s="234"/>
      <c r="G10" s="193">
        <f>J10*J7+K10*K7+L10*L7+M10*M7+N10*N7+O10*O7+P10*P7+Q10*Q7</f>
        <v>559</v>
      </c>
      <c r="H10" s="134" t="s">
        <v>123</v>
      </c>
      <c r="I10" s="135" t="s">
        <v>17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3</v>
      </c>
    </row>
    <row r="11" spans="1:17" s="7" customFormat="1" ht="30" customHeight="1" thickBot="1" x14ac:dyDescent="0.4">
      <c r="A11" s="6" t="s">
        <v>62</v>
      </c>
      <c r="B11" s="112" t="s">
        <v>19</v>
      </c>
      <c r="C11" s="217">
        <f t="shared" si="0"/>
        <v>330</v>
      </c>
      <c r="D11" s="175">
        <f>1*M7+1*N7+1*O7+1*P7+1*Q7</f>
        <v>165</v>
      </c>
      <c r="E11" s="234"/>
      <c r="F11" s="234">
        <f>M11*M7+N11*N7+O11*O7+P11*P7+Q11*Q7</f>
        <v>165</v>
      </c>
      <c r="G11" s="193"/>
      <c r="H11" s="134">
        <v>10.119999999999999</v>
      </c>
      <c r="I11" s="135">
        <v>14</v>
      </c>
      <c r="J11" s="26"/>
      <c r="K11" s="26"/>
      <c r="L11" s="26"/>
      <c r="M11" s="26">
        <v>1</v>
      </c>
      <c r="N11" s="26">
        <v>1</v>
      </c>
      <c r="O11" s="26">
        <v>1</v>
      </c>
      <c r="P11" s="26">
        <v>1</v>
      </c>
      <c r="Q11" s="26">
        <v>1</v>
      </c>
    </row>
    <row r="12" spans="1:17" s="7" customFormat="1" ht="30" customHeight="1" thickBot="1" x14ac:dyDescent="0.4">
      <c r="A12" s="6" t="s">
        <v>63</v>
      </c>
      <c r="B12" s="112" t="s">
        <v>5</v>
      </c>
      <c r="C12" s="217">
        <f t="shared" si="0"/>
        <v>429</v>
      </c>
      <c r="D12" s="175">
        <f>2*33*5</f>
        <v>330</v>
      </c>
      <c r="E12" s="234"/>
      <c r="F12" s="234"/>
      <c r="G12" s="193">
        <f>P12*P7+O12*O7+N12*N7+M12*M7+Q12*Q7</f>
        <v>99</v>
      </c>
      <c r="H12" s="134" t="s">
        <v>130</v>
      </c>
      <c r="I12" s="135"/>
      <c r="J12" s="26"/>
      <c r="K12" s="26"/>
      <c r="L12" s="26"/>
      <c r="M12" s="26">
        <v>0.5</v>
      </c>
      <c r="N12" s="26">
        <v>0.5</v>
      </c>
      <c r="O12" s="26">
        <v>0.5</v>
      </c>
      <c r="P12" s="26">
        <v>0.5</v>
      </c>
      <c r="Q12" s="26">
        <v>1</v>
      </c>
    </row>
    <row r="13" spans="1:17" s="7" customFormat="1" ht="30" customHeight="1" thickBot="1" x14ac:dyDescent="0.4">
      <c r="A13" s="6" t="s">
        <v>64</v>
      </c>
      <c r="B13" s="118" t="s">
        <v>15</v>
      </c>
      <c r="C13" s="217">
        <f t="shared" si="0"/>
        <v>147</v>
      </c>
      <c r="D13" s="175">
        <f>0.5*J7+0.5*K7+0.5*L7</f>
        <v>49</v>
      </c>
      <c r="E13" s="234">
        <f>J13*J7+K13*K7+L13*L7+M13*M7+N13*N7+O13*O7+P13*P7+Q13*Q7</f>
        <v>98</v>
      </c>
      <c r="F13" s="234"/>
      <c r="G13" s="193"/>
      <c r="H13" s="134">
        <v>6</v>
      </c>
      <c r="I13" s="135"/>
      <c r="J13" s="26">
        <v>1</v>
      </c>
      <c r="K13" s="26">
        <v>1</v>
      </c>
      <c r="L13" s="26">
        <v>1</v>
      </c>
      <c r="M13" s="26"/>
      <c r="N13" s="26"/>
      <c r="O13" s="26"/>
      <c r="P13" s="26"/>
      <c r="Q13" s="26"/>
    </row>
    <row r="14" spans="1:17" ht="30" customHeight="1" thickBot="1" x14ac:dyDescent="0.35">
      <c r="A14" s="113" t="s">
        <v>65</v>
      </c>
      <c r="B14" s="113" t="s">
        <v>0</v>
      </c>
      <c r="C14" s="98">
        <f t="shared" si="0"/>
        <v>1135</v>
      </c>
      <c r="D14" s="98">
        <f>SUM(D15:D17)</f>
        <v>477</v>
      </c>
      <c r="E14" s="339">
        <f>F15+F16+F17</f>
        <v>658</v>
      </c>
      <c r="F14" s="340"/>
      <c r="G14" s="341"/>
      <c r="H14" s="134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30" customHeight="1" thickBot="1" x14ac:dyDescent="0.4">
      <c r="A15" s="6" t="s">
        <v>66</v>
      </c>
      <c r="B15" s="112" t="s">
        <v>1</v>
      </c>
      <c r="C15" s="217">
        <f t="shared" si="0"/>
        <v>641.5</v>
      </c>
      <c r="D15" s="175">
        <f>J7+K7+L7+M7+N7+O7+P7+Q7</f>
        <v>263</v>
      </c>
      <c r="E15" s="193"/>
      <c r="F15" s="193">
        <f>J15*J7+K15*K7+L15*L7+M15*M7+N15*N7+O15*O7+P15*P7+Q15*Q7</f>
        <v>378.5</v>
      </c>
      <c r="G15" s="193"/>
      <c r="H15" s="179" t="s">
        <v>124</v>
      </c>
      <c r="I15" s="134">
        <v>12</v>
      </c>
      <c r="J15" s="26">
        <v>1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  <c r="P15" s="26">
        <v>1.5</v>
      </c>
      <c r="Q15" s="26">
        <v>1.5</v>
      </c>
    </row>
    <row r="16" spans="1:17" s="7" customFormat="1" ht="30" customHeight="1" thickBot="1" x14ac:dyDescent="0.4">
      <c r="A16" s="6" t="s">
        <v>67</v>
      </c>
      <c r="B16" s="112" t="s">
        <v>18</v>
      </c>
      <c r="C16" s="217">
        <f t="shared" ref="C16:C17" si="1">SUM(D16:G16)</f>
        <v>147</v>
      </c>
      <c r="D16" s="175">
        <f>0.5*J7+0.5*K7+0.5*L7</f>
        <v>49</v>
      </c>
      <c r="E16" s="193"/>
      <c r="F16" s="193">
        <f>J16*J7+K16*K7+L16*L7</f>
        <v>98</v>
      </c>
      <c r="G16" s="193"/>
      <c r="H16" s="134">
        <v>6</v>
      </c>
      <c r="I16" s="134"/>
      <c r="J16" s="26">
        <v>1</v>
      </c>
      <c r="K16" s="26">
        <v>1</v>
      </c>
      <c r="L16" s="26">
        <v>1</v>
      </c>
      <c r="M16" s="26"/>
      <c r="N16" s="26"/>
      <c r="O16" s="26"/>
      <c r="P16" s="26"/>
      <c r="Q16" s="26"/>
    </row>
    <row r="17" spans="1:17" s="7" customFormat="1" ht="42.75" customHeight="1" thickBot="1" x14ac:dyDescent="0.4">
      <c r="A17" s="6" t="s">
        <v>68</v>
      </c>
      <c r="B17" s="41" t="s">
        <v>41</v>
      </c>
      <c r="C17" s="217">
        <f t="shared" si="1"/>
        <v>346.5</v>
      </c>
      <c r="D17" s="175">
        <f>1*M7+1*N7+1*O7+1*P7+1*Q7</f>
        <v>165</v>
      </c>
      <c r="E17" s="193"/>
      <c r="F17" s="193">
        <f>M17*M7+N17*N7+O17*O7+P17*P7+Q17*Q7</f>
        <v>181.5</v>
      </c>
      <c r="G17" s="193"/>
      <c r="H17" s="134" t="s">
        <v>131</v>
      </c>
      <c r="I17" s="134">
        <v>14</v>
      </c>
      <c r="J17" s="26"/>
      <c r="K17" s="26"/>
      <c r="L17" s="26"/>
      <c r="M17" s="26">
        <v>1</v>
      </c>
      <c r="N17" s="26">
        <v>1</v>
      </c>
      <c r="O17" s="26">
        <v>1</v>
      </c>
      <c r="P17" s="26">
        <v>1</v>
      </c>
      <c r="Q17" s="26">
        <v>1.5</v>
      </c>
    </row>
    <row r="18" spans="1:17" s="7" customFormat="1" ht="30" customHeight="1" thickBot="1" x14ac:dyDescent="0.4">
      <c r="A18" s="422" t="s">
        <v>171</v>
      </c>
      <c r="B18" s="423"/>
      <c r="C18" s="113"/>
      <c r="D18" s="113"/>
      <c r="E18" s="339">
        <f>E14+E9</f>
        <v>1579</v>
      </c>
      <c r="F18" s="412"/>
      <c r="G18" s="413"/>
      <c r="H18" s="39"/>
      <c r="I18" s="40"/>
      <c r="J18" s="50">
        <f>SUM(J10:J17)</f>
        <v>5</v>
      </c>
      <c r="K18" s="50">
        <f t="shared" ref="K18:Q18" si="2">SUM(K10:K17)</f>
        <v>5.5</v>
      </c>
      <c r="L18" s="50">
        <f t="shared" si="2"/>
        <v>5.5</v>
      </c>
      <c r="M18" s="50">
        <f t="shared" si="2"/>
        <v>6</v>
      </c>
      <c r="N18" s="50">
        <f t="shared" si="2"/>
        <v>6</v>
      </c>
      <c r="O18" s="50">
        <f t="shared" si="2"/>
        <v>6</v>
      </c>
      <c r="P18" s="50">
        <f t="shared" si="2"/>
        <v>6</v>
      </c>
      <c r="Q18" s="50">
        <f t="shared" si="2"/>
        <v>8</v>
      </c>
    </row>
    <row r="19" spans="1:17" s="7" customFormat="1" ht="30" customHeight="1" thickBot="1" x14ac:dyDescent="0.4">
      <c r="A19" s="425" t="s">
        <v>170</v>
      </c>
      <c r="B19" s="338"/>
      <c r="C19" s="113">
        <f>C14+C9</f>
        <v>3357</v>
      </c>
      <c r="D19" s="113">
        <f>D14+D9</f>
        <v>1778</v>
      </c>
      <c r="E19" s="339">
        <f>E18</f>
        <v>1579</v>
      </c>
      <c r="F19" s="412"/>
      <c r="G19" s="413"/>
      <c r="H19" s="39"/>
      <c r="I19" s="40"/>
      <c r="J19" s="50"/>
      <c r="K19" s="50"/>
      <c r="L19" s="50"/>
      <c r="M19" s="50"/>
      <c r="N19" s="50"/>
      <c r="O19" s="50"/>
      <c r="P19" s="50"/>
      <c r="Q19" s="50"/>
    </row>
    <row r="20" spans="1:17" s="7" customFormat="1" ht="37.5" customHeight="1" thickBot="1" x14ac:dyDescent="0.4">
      <c r="A20" s="424" t="s">
        <v>172</v>
      </c>
      <c r="B20" s="395"/>
      <c r="C20" s="208"/>
      <c r="D20" s="208"/>
      <c r="E20" s="339"/>
      <c r="F20" s="412"/>
      <c r="G20" s="413"/>
      <c r="H20" s="132">
        <v>31</v>
      </c>
      <c r="I20" s="133">
        <v>10</v>
      </c>
      <c r="J20" s="50"/>
      <c r="K20" s="50"/>
      <c r="L20" s="50"/>
      <c r="M20" s="50"/>
      <c r="N20" s="50"/>
      <c r="O20" s="50"/>
      <c r="P20" s="50"/>
      <c r="Q20" s="50"/>
    </row>
    <row r="21" spans="1:17" ht="30" customHeight="1" thickBot="1" x14ac:dyDescent="0.35">
      <c r="A21" s="114" t="s">
        <v>70</v>
      </c>
      <c r="B21" s="98" t="s">
        <v>2</v>
      </c>
      <c r="C21" s="230">
        <f>SUM(C22:C26)</f>
        <v>774.5</v>
      </c>
      <c r="D21" s="230">
        <f>SUM(D22:D26)</f>
        <v>164.5</v>
      </c>
      <c r="E21" s="342">
        <f>F25+F26+G23+F22+E24</f>
        <v>610</v>
      </c>
      <c r="F21" s="345"/>
      <c r="G21" s="346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30" customHeight="1" thickBot="1" x14ac:dyDescent="0.4">
      <c r="A22" s="6" t="s">
        <v>155</v>
      </c>
      <c r="B22" s="37" t="s">
        <v>119</v>
      </c>
      <c r="C22" s="228">
        <f>SUM(D22:G22)</f>
        <v>99</v>
      </c>
      <c r="D22" s="229" t="s">
        <v>175</v>
      </c>
      <c r="E22" s="195"/>
      <c r="F22" s="226">
        <f>K22*K7+L22*L7+M22*M7+N22*N7+O22*O7+P22*P7</f>
        <v>99</v>
      </c>
      <c r="G22" s="226"/>
      <c r="H22" s="24"/>
      <c r="I22" s="2"/>
      <c r="J22" s="2"/>
      <c r="K22" s="4">
        <v>0.5</v>
      </c>
      <c r="L22" s="4">
        <v>0.5</v>
      </c>
      <c r="M22" s="4">
        <v>0.5</v>
      </c>
      <c r="N22" s="4">
        <v>0.5</v>
      </c>
      <c r="O22" s="4">
        <v>0.5</v>
      </c>
      <c r="P22" s="4">
        <v>0.5</v>
      </c>
      <c r="Q22" s="4"/>
    </row>
    <row r="23" spans="1:17" s="7" customFormat="1" ht="30" customHeight="1" thickBot="1" x14ac:dyDescent="0.4">
      <c r="A23" s="6" t="s">
        <v>156</v>
      </c>
      <c r="B23" s="112" t="s">
        <v>5</v>
      </c>
      <c r="C23" s="228">
        <f>SUM(D23:G23)</f>
        <v>66</v>
      </c>
      <c r="D23" s="229" t="s">
        <v>175</v>
      </c>
      <c r="E23" s="193"/>
      <c r="F23" s="193"/>
      <c r="G23" s="193">
        <f>J23*J7+K23*K7+L23*L7+M23*M7+N23*N7+O23*O7+P23*P7+Q23*Q7</f>
        <v>66</v>
      </c>
      <c r="H23" s="136"/>
      <c r="I23" s="2"/>
      <c r="J23" s="4"/>
      <c r="K23" s="4"/>
      <c r="L23" s="4"/>
      <c r="M23" s="4">
        <v>0.5</v>
      </c>
      <c r="N23" s="4">
        <v>0.5</v>
      </c>
      <c r="O23" s="4">
        <v>0.5</v>
      </c>
      <c r="P23" s="4">
        <v>0.5</v>
      </c>
      <c r="Q23" s="4"/>
    </row>
    <row r="24" spans="1:17" s="7" customFormat="1" ht="30" customHeight="1" thickBot="1" x14ac:dyDescent="0.4">
      <c r="A24" s="6" t="s">
        <v>157</v>
      </c>
      <c r="B24" s="126" t="s">
        <v>22</v>
      </c>
      <c r="C24" s="193">
        <f>D24+E24+F24+G24</f>
        <v>330</v>
      </c>
      <c r="D24" s="279">
        <f>0.5*33*4</f>
        <v>66</v>
      </c>
      <c r="E24" s="193">
        <f>J24*J7+K24*K7+L24*L7+M24*M7+N24*N7+O24*O7+P24*P7+Q24*Q7</f>
        <v>264</v>
      </c>
      <c r="F24" s="193"/>
      <c r="G24" s="279"/>
      <c r="H24" s="213" t="s">
        <v>128</v>
      </c>
      <c r="I24" s="2"/>
      <c r="J24" s="4"/>
      <c r="K24" s="4"/>
      <c r="L24" s="4"/>
      <c r="M24" s="4"/>
      <c r="N24" s="4">
        <v>2</v>
      </c>
      <c r="O24" s="4">
        <v>2</v>
      </c>
      <c r="P24" s="4">
        <v>2</v>
      </c>
      <c r="Q24" s="4">
        <v>2</v>
      </c>
    </row>
    <row r="25" spans="1:17" s="7" customFormat="1" ht="30" customHeight="1" thickBot="1" x14ac:dyDescent="0.4">
      <c r="A25" s="6" t="s">
        <v>71</v>
      </c>
      <c r="B25" s="37" t="s">
        <v>3</v>
      </c>
      <c r="C25" s="228">
        <f>SUM(D25:G25)</f>
        <v>33</v>
      </c>
      <c r="D25" s="175">
        <f>Q25*O7</f>
        <v>16.5</v>
      </c>
      <c r="E25" s="195"/>
      <c r="F25" s="226">
        <f>Q25*Q7</f>
        <v>16.5</v>
      </c>
      <c r="G25" s="226"/>
      <c r="H25" s="136">
        <v>16</v>
      </c>
      <c r="I25" s="2"/>
      <c r="J25" s="2"/>
      <c r="K25" s="4"/>
      <c r="L25" s="4"/>
      <c r="M25" s="4"/>
      <c r="N25" s="4"/>
      <c r="O25" s="4"/>
      <c r="P25" s="4"/>
      <c r="Q25" s="4">
        <v>0.5</v>
      </c>
    </row>
    <row r="26" spans="1:17" s="7" customFormat="1" ht="30" customHeight="1" thickBot="1" x14ac:dyDescent="0.4">
      <c r="A26" s="6" t="s">
        <v>189</v>
      </c>
      <c r="B26" s="41" t="s">
        <v>19</v>
      </c>
      <c r="C26" s="228">
        <f>SUM(D26:G26)</f>
        <v>246.5</v>
      </c>
      <c r="D26" s="226">
        <f>J26*J7+K26*K7+L26*L7</f>
        <v>82</v>
      </c>
      <c r="E26" s="226"/>
      <c r="F26" s="226">
        <f>K26*K7+L26*L7+J26*J7+M26*M7+N26*N7+O26*O7+P26*P7+Q26*Q7</f>
        <v>164.5</v>
      </c>
      <c r="G26" s="189"/>
      <c r="H26" s="136" t="s">
        <v>129</v>
      </c>
      <c r="I26" s="2"/>
      <c r="J26" s="2">
        <v>0.5</v>
      </c>
      <c r="K26" s="4">
        <v>1</v>
      </c>
      <c r="L26" s="4">
        <v>1</v>
      </c>
      <c r="M26" s="4">
        <v>0.5</v>
      </c>
      <c r="N26" s="4">
        <v>0.5</v>
      </c>
      <c r="O26" s="4">
        <v>0.5</v>
      </c>
      <c r="P26" s="4">
        <v>0.5</v>
      </c>
      <c r="Q26" s="4">
        <v>0.5</v>
      </c>
    </row>
    <row r="27" spans="1:17" s="7" customFormat="1" ht="30" customHeight="1" thickBot="1" x14ac:dyDescent="0.4">
      <c r="A27" s="347" t="s">
        <v>149</v>
      </c>
      <c r="B27" s="348"/>
      <c r="C27" s="231"/>
      <c r="D27" s="231"/>
      <c r="E27" s="386">
        <f>E18+E21</f>
        <v>2189</v>
      </c>
      <c r="F27" s="387"/>
      <c r="G27" s="388"/>
      <c r="H27" s="71"/>
      <c r="I27" s="71"/>
      <c r="J27" s="139">
        <f>J18+J25+J26+J23+J22+J24</f>
        <v>5.5</v>
      </c>
      <c r="K27" s="139">
        <f t="shared" ref="K27:Q27" si="3">K18+K25+K26+K23+K22+K24</f>
        <v>7</v>
      </c>
      <c r="L27" s="139">
        <f t="shared" si="3"/>
        <v>7</v>
      </c>
      <c r="M27" s="139">
        <f t="shared" si="3"/>
        <v>7.5</v>
      </c>
      <c r="N27" s="139">
        <f t="shared" si="3"/>
        <v>9.5</v>
      </c>
      <c r="O27" s="139">
        <f t="shared" si="3"/>
        <v>9.5</v>
      </c>
      <c r="P27" s="139">
        <f t="shared" si="3"/>
        <v>9.5</v>
      </c>
      <c r="Q27" s="139">
        <f t="shared" si="3"/>
        <v>11</v>
      </c>
    </row>
    <row r="28" spans="1:17" s="7" customFormat="1" ht="37.950000000000003" customHeight="1" thickBot="1" x14ac:dyDescent="0.4">
      <c r="A28" s="394" t="s">
        <v>176</v>
      </c>
      <c r="B28" s="395"/>
      <c r="C28" s="277">
        <f>C19+C21</f>
        <v>4131.5</v>
      </c>
      <c r="D28" s="277">
        <f>D19+D21</f>
        <v>1942.5</v>
      </c>
      <c r="E28" s="342">
        <f>E27</f>
        <v>2189</v>
      </c>
      <c r="F28" s="343"/>
      <c r="G28" s="344"/>
      <c r="H28" s="320"/>
      <c r="I28" s="315"/>
      <c r="J28" s="72"/>
      <c r="K28" s="72"/>
      <c r="L28" s="72"/>
      <c r="M28" s="72"/>
      <c r="N28" s="72"/>
      <c r="O28" s="72"/>
      <c r="P28" s="72"/>
      <c r="Q28" s="72"/>
    </row>
    <row r="29" spans="1:17" s="7" customFormat="1" ht="29.4" customHeight="1" thickBot="1" x14ac:dyDescent="0.4">
      <c r="A29" s="394" t="s">
        <v>177</v>
      </c>
      <c r="B29" s="395"/>
      <c r="C29" s="174"/>
      <c r="D29" s="174"/>
      <c r="E29" s="339"/>
      <c r="F29" s="412"/>
      <c r="G29" s="413"/>
      <c r="H29" s="137">
        <v>35</v>
      </c>
      <c r="I29" s="138">
        <v>10</v>
      </c>
      <c r="J29" s="139"/>
      <c r="K29" s="139"/>
      <c r="L29" s="139"/>
      <c r="M29" s="139"/>
      <c r="N29" s="139"/>
      <c r="O29" s="139"/>
      <c r="P29" s="139"/>
      <c r="Q29" s="139"/>
    </row>
    <row r="30" spans="1:17" s="7" customFormat="1" ht="30" customHeight="1" thickTop="1" thickBot="1" x14ac:dyDescent="0.4">
      <c r="A30" s="116" t="s">
        <v>73</v>
      </c>
      <c r="B30" s="97" t="s">
        <v>74</v>
      </c>
      <c r="C30" s="278">
        <f>E30</f>
        <v>196</v>
      </c>
      <c r="D30" s="285"/>
      <c r="E30" s="362">
        <f>E33+F35+G34+F32+G31+F36+E37</f>
        <v>196</v>
      </c>
      <c r="F30" s="363"/>
      <c r="G30" s="364"/>
      <c r="H30" s="74"/>
      <c r="I30" s="74"/>
      <c r="J30" s="330" t="s">
        <v>91</v>
      </c>
      <c r="K30" s="331"/>
      <c r="L30" s="331"/>
      <c r="M30" s="331"/>
      <c r="N30" s="331"/>
      <c r="O30" s="331"/>
      <c r="P30" s="331"/>
      <c r="Q30" s="331"/>
    </row>
    <row r="31" spans="1:17" s="7" customFormat="1" ht="30" customHeight="1" thickBot="1" x14ac:dyDescent="0.4">
      <c r="A31" s="6" t="s">
        <v>75</v>
      </c>
      <c r="B31" s="69" t="s">
        <v>7</v>
      </c>
      <c r="C31" s="124"/>
      <c r="D31" s="124"/>
      <c r="E31" s="193"/>
      <c r="F31" s="193"/>
      <c r="G31" s="193">
        <f>J31+K31+L31+M31+N31+O31+P31+Q31</f>
        <v>68</v>
      </c>
      <c r="H31" s="5"/>
      <c r="I31" s="5"/>
      <c r="J31" s="4">
        <v>6</v>
      </c>
      <c r="K31" s="4">
        <v>8</v>
      </c>
      <c r="L31" s="4">
        <v>8</v>
      </c>
      <c r="M31" s="4">
        <v>8</v>
      </c>
      <c r="N31" s="4">
        <v>8</v>
      </c>
      <c r="O31" s="4">
        <v>8</v>
      </c>
      <c r="P31" s="4">
        <v>10</v>
      </c>
      <c r="Q31" s="4">
        <v>12</v>
      </c>
    </row>
    <row r="32" spans="1:17" s="7" customFormat="1" ht="30" customHeight="1" thickBot="1" x14ac:dyDescent="0.4">
      <c r="A32" s="6" t="s">
        <v>76</v>
      </c>
      <c r="B32" s="69" t="s">
        <v>95</v>
      </c>
      <c r="C32" s="124"/>
      <c r="D32" s="124"/>
      <c r="E32" s="193"/>
      <c r="F32" s="193">
        <f>K32+L32+M32+N32+O32+P32+Q32+R31+J32</f>
        <v>38</v>
      </c>
      <c r="G32" s="193"/>
      <c r="H32" s="5"/>
      <c r="I32" s="5"/>
      <c r="J32" s="4"/>
      <c r="K32" s="4">
        <v>2</v>
      </c>
      <c r="L32" s="4">
        <v>2</v>
      </c>
      <c r="M32" s="4">
        <v>6</v>
      </c>
      <c r="N32" s="4">
        <v>6</v>
      </c>
      <c r="O32" s="4">
        <v>6</v>
      </c>
      <c r="P32" s="4">
        <v>8</v>
      </c>
      <c r="Q32" s="4">
        <v>8</v>
      </c>
    </row>
    <row r="33" spans="1:17" s="7" customFormat="1" ht="30" customHeight="1" thickBot="1" x14ac:dyDescent="0.4">
      <c r="A33" s="6" t="s">
        <v>77</v>
      </c>
      <c r="B33" s="69" t="s">
        <v>96</v>
      </c>
      <c r="C33" s="124"/>
      <c r="D33" s="124"/>
      <c r="E33" s="193">
        <f>J33+K33+L33+M33+N33+O33+P33+Q33</f>
        <v>6</v>
      </c>
      <c r="F33" s="193"/>
      <c r="G33" s="193"/>
      <c r="H33" s="5"/>
      <c r="I33" s="5"/>
      <c r="J33" s="4">
        <v>2</v>
      </c>
      <c r="K33" s="4">
        <v>2</v>
      </c>
      <c r="L33" s="4">
        <v>2</v>
      </c>
      <c r="M33" s="4"/>
      <c r="N33" s="4"/>
      <c r="O33" s="4"/>
      <c r="P33" s="4"/>
      <c r="Q33" s="4"/>
    </row>
    <row r="34" spans="1:17" s="7" customFormat="1" ht="30" customHeight="1" thickBot="1" x14ac:dyDescent="0.4">
      <c r="A34" s="6" t="s">
        <v>78</v>
      </c>
      <c r="B34" s="69" t="s">
        <v>5</v>
      </c>
      <c r="C34" s="124"/>
      <c r="D34" s="124"/>
      <c r="E34" s="193"/>
      <c r="F34" s="193"/>
      <c r="G34" s="193">
        <f>J34+K34+L34+M34+N34+O34+P34+Q34</f>
        <v>20</v>
      </c>
      <c r="H34" s="5"/>
      <c r="I34" s="5"/>
      <c r="J34" s="4"/>
      <c r="K34" s="4"/>
      <c r="L34" s="4"/>
      <c r="M34" s="4">
        <v>4</v>
      </c>
      <c r="N34" s="4">
        <v>4</v>
      </c>
      <c r="O34" s="4">
        <v>4</v>
      </c>
      <c r="P34" s="4">
        <v>4</v>
      </c>
      <c r="Q34" s="4">
        <v>4</v>
      </c>
    </row>
    <row r="35" spans="1:17" s="7" customFormat="1" ht="30" customHeight="1" thickBot="1" x14ac:dyDescent="0.4">
      <c r="A35" s="6" t="s">
        <v>79</v>
      </c>
      <c r="B35" s="70" t="s">
        <v>1</v>
      </c>
      <c r="C35" s="232"/>
      <c r="D35" s="232"/>
      <c r="E35" s="193"/>
      <c r="F35" s="193">
        <f>J35+K35+L35+M35+N35+O35+P35+Q35</f>
        <v>22</v>
      </c>
      <c r="G35" s="193"/>
      <c r="H35" s="5"/>
      <c r="I35" s="5"/>
      <c r="J35" s="4"/>
      <c r="K35" s="4">
        <v>2</v>
      </c>
      <c r="L35" s="4">
        <v>2</v>
      </c>
      <c r="M35" s="4">
        <v>2</v>
      </c>
      <c r="N35" s="4">
        <v>4</v>
      </c>
      <c r="O35" s="4">
        <v>4</v>
      </c>
      <c r="P35" s="4">
        <v>4</v>
      </c>
      <c r="Q35" s="4">
        <v>4</v>
      </c>
    </row>
    <row r="36" spans="1:17" s="90" customFormat="1" ht="30" customHeight="1" thickBot="1" x14ac:dyDescent="0.4">
      <c r="A36" s="6" t="s">
        <v>110</v>
      </c>
      <c r="B36" s="70" t="s">
        <v>98</v>
      </c>
      <c r="C36" s="232"/>
      <c r="D36" s="232"/>
      <c r="E36" s="193"/>
      <c r="F36" s="193">
        <f>J36+K36+L36+M36+N36+O36+P36+Q36</f>
        <v>10</v>
      </c>
      <c r="G36" s="193"/>
      <c r="H36" s="5"/>
      <c r="I36" s="5"/>
      <c r="J36" s="4"/>
      <c r="K36" s="4"/>
      <c r="L36" s="4"/>
      <c r="M36" s="4"/>
      <c r="N36" s="4">
        <v>2</v>
      </c>
      <c r="O36" s="4">
        <v>2</v>
      </c>
      <c r="P36" s="4">
        <v>2</v>
      </c>
      <c r="Q36" s="4">
        <v>4</v>
      </c>
    </row>
    <row r="37" spans="1:17" s="7" customFormat="1" ht="30" customHeight="1" thickBot="1" x14ac:dyDescent="0.4">
      <c r="A37" s="6" t="s">
        <v>113</v>
      </c>
      <c r="B37" s="69" t="s">
        <v>111</v>
      </c>
      <c r="C37" s="124"/>
      <c r="D37" s="184"/>
      <c r="E37" s="63">
        <f>J37+K37+L37+M37+N37+O37+P37+Q37</f>
        <v>32</v>
      </c>
      <c r="F37" s="93"/>
      <c r="G37" s="94"/>
      <c r="H37" s="5"/>
      <c r="I37" s="5"/>
      <c r="J37" s="4"/>
      <c r="K37" s="4"/>
      <c r="L37" s="4"/>
      <c r="M37" s="4"/>
      <c r="N37" s="4">
        <v>8</v>
      </c>
      <c r="O37" s="4">
        <v>8</v>
      </c>
      <c r="P37" s="4">
        <v>8</v>
      </c>
      <c r="Q37" s="4">
        <v>8</v>
      </c>
    </row>
    <row r="38" spans="1:17" s="7" customFormat="1" ht="30" customHeight="1" thickBot="1" x14ac:dyDescent="0.4">
      <c r="A38" s="365" t="s">
        <v>148</v>
      </c>
      <c r="B38" s="366"/>
      <c r="C38" s="231"/>
      <c r="D38" s="231"/>
      <c r="E38" s="151"/>
      <c r="F38" s="151"/>
      <c r="G38" s="194"/>
      <c r="H38" s="78"/>
      <c r="I38" s="78"/>
      <c r="J38" s="5">
        <f>SUM(J31:J37)</f>
        <v>8</v>
      </c>
      <c r="K38" s="5">
        <f t="shared" ref="K38:Q38" si="4">SUM(K31:K37)</f>
        <v>14</v>
      </c>
      <c r="L38" s="5">
        <f t="shared" si="4"/>
        <v>14</v>
      </c>
      <c r="M38" s="5">
        <f t="shared" si="4"/>
        <v>20</v>
      </c>
      <c r="N38" s="5">
        <f t="shared" si="4"/>
        <v>32</v>
      </c>
      <c r="O38" s="5">
        <f t="shared" si="4"/>
        <v>32</v>
      </c>
      <c r="P38" s="5">
        <f t="shared" si="4"/>
        <v>36</v>
      </c>
      <c r="Q38" s="5">
        <f t="shared" si="4"/>
        <v>40</v>
      </c>
    </row>
    <row r="39" spans="1:17" s="7" customFormat="1" ht="30" customHeight="1" thickBot="1" x14ac:dyDescent="0.4">
      <c r="A39" s="81"/>
      <c r="B39" s="82"/>
      <c r="C39" s="17"/>
      <c r="D39" s="17"/>
      <c r="E39" s="17"/>
      <c r="F39" s="218"/>
      <c r="G39" s="20"/>
      <c r="H39" s="17"/>
      <c r="I39" s="17"/>
      <c r="J39" s="19"/>
      <c r="K39" s="19"/>
      <c r="L39" s="19"/>
      <c r="M39" s="19"/>
      <c r="N39" s="19"/>
      <c r="O39" s="19"/>
      <c r="P39" s="19"/>
      <c r="Q39" s="86"/>
    </row>
    <row r="40" spans="1:17" s="7" customFormat="1" ht="30" customHeight="1" x14ac:dyDescent="0.35">
      <c r="A40" s="117" t="s">
        <v>80</v>
      </c>
      <c r="B40" s="77" t="s">
        <v>83</v>
      </c>
      <c r="C40" s="186"/>
      <c r="D40" s="186"/>
      <c r="E40" s="332" t="s">
        <v>94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4"/>
    </row>
    <row r="41" spans="1:17" s="7" customFormat="1" ht="30" customHeight="1" x14ac:dyDescent="0.35">
      <c r="A41" s="122" t="s">
        <v>81</v>
      </c>
      <c r="B41" s="75" t="s">
        <v>82</v>
      </c>
      <c r="C41" s="275">
        <f>J41+K41+L41+M41+N41+O41+P41</f>
        <v>7</v>
      </c>
      <c r="D41" s="75"/>
      <c r="E41" s="95"/>
      <c r="F41" s="53"/>
      <c r="G41" s="75"/>
      <c r="H41" s="53"/>
      <c r="I41" s="53"/>
      <c r="J41" s="95">
        <v>1</v>
      </c>
      <c r="K41" s="95">
        <v>1</v>
      </c>
      <c r="L41" s="95">
        <v>1</v>
      </c>
      <c r="M41" s="95">
        <v>1</v>
      </c>
      <c r="N41" s="95">
        <v>1</v>
      </c>
      <c r="O41" s="95">
        <v>1</v>
      </c>
      <c r="P41" s="95">
        <v>1</v>
      </c>
      <c r="Q41" s="96"/>
    </row>
    <row r="42" spans="1:17" s="7" customFormat="1" ht="30" customHeight="1" x14ac:dyDescent="0.35">
      <c r="A42" s="122" t="s">
        <v>84</v>
      </c>
      <c r="B42" s="75" t="s">
        <v>85</v>
      </c>
      <c r="C42" s="75">
        <f>C43+C44+C45</f>
        <v>2</v>
      </c>
      <c r="D42" s="75"/>
      <c r="E42" s="53"/>
      <c r="F42" s="53"/>
      <c r="G42" s="75"/>
      <c r="H42" s="53"/>
      <c r="I42" s="53"/>
      <c r="J42" s="95"/>
      <c r="K42" s="95"/>
      <c r="L42" s="95"/>
      <c r="M42" s="95"/>
      <c r="N42" s="95"/>
      <c r="O42" s="95"/>
      <c r="P42" s="95"/>
      <c r="Q42" s="96">
        <v>2</v>
      </c>
    </row>
    <row r="43" spans="1:17" s="7" customFormat="1" ht="30" customHeight="1" x14ac:dyDescent="0.35">
      <c r="A43" s="122" t="s">
        <v>86</v>
      </c>
      <c r="B43" s="75" t="s">
        <v>89</v>
      </c>
      <c r="C43" s="75">
        <v>1</v>
      </c>
      <c r="D43" s="75"/>
      <c r="E43" s="53"/>
      <c r="F43" s="53"/>
      <c r="G43" s="75"/>
      <c r="H43" s="53"/>
      <c r="I43" s="53"/>
      <c r="J43" s="61"/>
      <c r="K43" s="61"/>
      <c r="L43" s="61"/>
      <c r="M43" s="61"/>
      <c r="N43" s="61"/>
      <c r="O43" s="61"/>
      <c r="P43" s="61"/>
      <c r="Q43" s="62"/>
    </row>
    <row r="44" spans="1:17" s="7" customFormat="1" ht="30" customHeight="1" x14ac:dyDescent="0.35">
      <c r="A44" s="122" t="s">
        <v>87</v>
      </c>
      <c r="B44" s="75" t="s">
        <v>1</v>
      </c>
      <c r="C44" s="75">
        <v>0.5</v>
      </c>
      <c r="D44" s="75"/>
      <c r="E44" s="53"/>
      <c r="F44" s="53"/>
      <c r="G44" s="75"/>
      <c r="H44" s="53"/>
      <c r="I44" s="53"/>
      <c r="J44" s="61"/>
      <c r="K44" s="61"/>
      <c r="L44" s="61"/>
      <c r="M44" s="61"/>
      <c r="N44" s="61"/>
      <c r="O44" s="61"/>
      <c r="P44" s="61"/>
      <c r="Q44" s="62"/>
    </row>
    <row r="45" spans="1:17" ht="40.200000000000003" customHeight="1" thickBot="1" x14ac:dyDescent="0.35">
      <c r="A45" s="123" t="s">
        <v>88</v>
      </c>
      <c r="B45" s="100" t="s">
        <v>41</v>
      </c>
      <c r="C45" s="100">
        <v>0.5</v>
      </c>
      <c r="D45" s="100"/>
      <c r="E45" s="101"/>
      <c r="F45" s="101"/>
      <c r="G45" s="100"/>
      <c r="H45" s="101"/>
      <c r="I45" s="101"/>
      <c r="J45" s="91"/>
      <c r="K45" s="91"/>
      <c r="L45" s="91"/>
      <c r="M45" s="91"/>
      <c r="N45" s="91"/>
      <c r="O45" s="91"/>
      <c r="P45" s="91"/>
      <c r="Q45" s="102"/>
    </row>
    <row r="46" spans="1:17" ht="21" thickBot="1" x14ac:dyDescent="0.35">
      <c r="A46" s="335" t="s">
        <v>93</v>
      </c>
      <c r="B46" s="336"/>
      <c r="C46" s="276">
        <v>8</v>
      </c>
      <c r="D46" s="172"/>
      <c r="E46" s="103"/>
      <c r="F46" s="104"/>
      <c r="G46" s="105"/>
      <c r="H46" s="104"/>
      <c r="I46" s="104"/>
      <c r="J46" s="106"/>
      <c r="K46" s="106"/>
      <c r="L46" s="106"/>
      <c r="M46" s="106"/>
      <c r="N46" s="106"/>
      <c r="O46" s="106"/>
      <c r="P46" s="106"/>
      <c r="Q46" s="107"/>
    </row>
    <row r="47" spans="1:17" ht="40.200000000000003" customHeight="1" x14ac:dyDescent="0.3">
      <c r="A47" s="20"/>
      <c r="B47" s="21"/>
      <c r="C47" s="21"/>
      <c r="D47" s="21"/>
      <c r="E47" s="17"/>
      <c r="F47" s="18"/>
      <c r="G47" s="19"/>
      <c r="H47" s="17"/>
      <c r="I47" s="18"/>
      <c r="J47" s="19"/>
      <c r="K47" s="19"/>
      <c r="L47" s="19"/>
      <c r="M47" s="19"/>
      <c r="N47" s="19"/>
      <c r="O47" s="19"/>
      <c r="P47" s="17"/>
      <c r="Q47" s="17"/>
    </row>
    <row r="48" spans="1:17" ht="40.200000000000003" customHeight="1" x14ac:dyDescent="0.3">
      <c r="A48" s="370"/>
      <c r="B48" s="370"/>
      <c r="C48" s="173"/>
      <c r="D48" s="173"/>
      <c r="E48" s="17"/>
      <c r="F48" s="18"/>
      <c r="G48" s="21"/>
      <c r="H48" s="17"/>
      <c r="I48" s="18"/>
      <c r="J48" s="21"/>
      <c r="K48" s="17"/>
      <c r="L48" s="17"/>
      <c r="M48" s="17"/>
      <c r="N48" s="17"/>
      <c r="O48" s="17"/>
      <c r="P48" s="17"/>
      <c r="Q48" s="17"/>
    </row>
    <row r="49" spans="1:17" ht="18" x14ac:dyDescent="0.3">
      <c r="A49" s="20"/>
      <c r="B49" s="21"/>
      <c r="C49" s="21"/>
      <c r="D49" s="21"/>
      <c r="E49" s="17"/>
      <c r="F49" s="18"/>
      <c r="G49" s="19"/>
      <c r="H49" s="17"/>
      <c r="I49" s="18"/>
      <c r="J49" s="19"/>
      <c r="K49" s="19"/>
      <c r="L49" s="19"/>
      <c r="M49" s="19"/>
      <c r="N49" s="19"/>
      <c r="O49" s="19"/>
      <c r="P49" s="17"/>
      <c r="Q49" s="17"/>
    </row>
    <row r="50" spans="1:17" ht="18" x14ac:dyDescent="0.3">
      <c r="A50" s="17"/>
      <c r="B50" s="22"/>
      <c r="C50" s="22"/>
      <c r="D50" s="22"/>
      <c r="E50" s="23"/>
      <c r="F50" s="18"/>
      <c r="G50" s="23"/>
      <c r="H50" s="23"/>
      <c r="I50" s="18"/>
      <c r="J50" s="23"/>
      <c r="K50" s="23"/>
      <c r="L50" s="23"/>
      <c r="M50" s="23"/>
      <c r="N50" s="23"/>
      <c r="O50" s="23"/>
      <c r="P50" s="23"/>
      <c r="Q50" s="23"/>
    </row>
  </sheetData>
  <mergeCells count="37">
    <mergeCell ref="J30:Q30"/>
    <mergeCell ref="E40:Q40"/>
    <mergeCell ref="A46:B46"/>
    <mergeCell ref="A48:B48"/>
    <mergeCell ref="A2:Q2"/>
    <mergeCell ref="E3:G3"/>
    <mergeCell ref="H3:I3"/>
    <mergeCell ref="J3:Q3"/>
    <mergeCell ref="A6:A7"/>
    <mergeCell ref="B6:B7"/>
    <mergeCell ref="E6:G7"/>
    <mergeCell ref="H6:H7"/>
    <mergeCell ref="I6:I7"/>
    <mergeCell ref="J6:Q6"/>
    <mergeCell ref="A38:B38"/>
    <mergeCell ref="A3:A4"/>
    <mergeCell ref="B3:B4"/>
    <mergeCell ref="E8:G8"/>
    <mergeCell ref="J8:Q8"/>
    <mergeCell ref="E9:G9"/>
    <mergeCell ref="E14:G14"/>
    <mergeCell ref="C6:C7"/>
    <mergeCell ref="D6:D7"/>
    <mergeCell ref="E30:G30"/>
    <mergeCell ref="A18:B18"/>
    <mergeCell ref="E18:G18"/>
    <mergeCell ref="E21:G21"/>
    <mergeCell ref="A27:B27"/>
    <mergeCell ref="E27:G27"/>
    <mergeCell ref="A20:B20"/>
    <mergeCell ref="E20:G20"/>
    <mergeCell ref="A29:B29"/>
    <mergeCell ref="E29:G29"/>
    <mergeCell ref="A19:B19"/>
    <mergeCell ref="E19:G19"/>
    <mergeCell ref="A28:B28"/>
    <mergeCell ref="E28:G28"/>
  </mergeCells>
  <pageMargins left="0.70866141732283472" right="0.70866141732283472" top="0.35433070866141736" bottom="0.35433070866141736" header="0.11811023622047245" footer="0.11811023622047245"/>
  <pageSetup paperSize="9" scale="57" orientation="landscape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9"/>
  <sheetViews>
    <sheetView view="pageBreakPreview" topLeftCell="A22" zoomScale="60" zoomScaleNormal="75" workbookViewId="0">
      <selection activeCell="M35" sqref="M35"/>
    </sheetView>
  </sheetViews>
  <sheetFormatPr defaultRowHeight="14.4" x14ac:dyDescent="0.3"/>
  <cols>
    <col min="1" max="1" width="19.5546875" customWidth="1"/>
    <col min="2" max="2" width="60.5546875" customWidth="1"/>
    <col min="3" max="3" width="11.33203125" customWidth="1"/>
    <col min="4" max="4" width="10.5546875" customWidth="1"/>
    <col min="5" max="5" width="7" customWidth="1"/>
    <col min="6" max="6" width="8.6640625" customWidth="1"/>
    <col min="7" max="7" width="8.109375" customWidth="1"/>
    <col min="8" max="8" width="16.33203125" customWidth="1"/>
    <col min="9" max="9" width="13.44140625" customWidth="1"/>
    <col min="10" max="14" width="7" customWidth="1"/>
  </cols>
  <sheetData>
    <row r="1" spans="1:14" s="29" customFormat="1" ht="27" customHeight="1" x14ac:dyDescent="0.4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7.6" customHeight="1" thickBot="1" x14ac:dyDescent="0.35">
      <c r="A2" s="369" t="s">
        <v>142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ht="55.95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</row>
    <row r="4" spans="1:14" ht="73.2" customHeight="1" thickBot="1" x14ac:dyDescent="0.35">
      <c r="A4" s="372"/>
      <c r="B4" s="374"/>
      <c r="C4" s="241" t="s">
        <v>160</v>
      </c>
      <c r="D4" s="241" t="s">
        <v>160</v>
      </c>
      <c r="E4" s="42" t="s">
        <v>118</v>
      </c>
      <c r="F4" s="43" t="s">
        <v>48</v>
      </c>
      <c r="G4" s="42" t="s">
        <v>49</v>
      </c>
      <c r="H4" s="16" t="s">
        <v>21</v>
      </c>
      <c r="I4" s="3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</row>
    <row r="5" spans="1:14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</row>
    <row r="6" spans="1:14" ht="19.2" customHeight="1" thickBot="1" x14ac:dyDescent="0.35">
      <c r="A6" s="384"/>
      <c r="B6" s="414" t="s">
        <v>43</v>
      </c>
      <c r="C6" s="414" t="s">
        <v>191</v>
      </c>
      <c r="D6" s="414" t="s">
        <v>178</v>
      </c>
      <c r="E6" s="386" t="s">
        <v>190</v>
      </c>
      <c r="F6" s="387"/>
      <c r="G6" s="388"/>
      <c r="H6" s="384"/>
      <c r="I6" s="384"/>
      <c r="J6" s="380" t="s">
        <v>52</v>
      </c>
      <c r="K6" s="381"/>
      <c r="L6" s="381"/>
      <c r="M6" s="381"/>
      <c r="N6" s="381"/>
    </row>
    <row r="7" spans="1:14" ht="24" customHeight="1" thickBot="1" x14ac:dyDescent="0.35">
      <c r="A7" s="385"/>
      <c r="B7" s="415"/>
      <c r="C7" s="415"/>
      <c r="D7" s="415"/>
      <c r="E7" s="389"/>
      <c r="F7" s="390"/>
      <c r="G7" s="391"/>
      <c r="H7" s="419"/>
      <c r="I7" s="419"/>
      <c r="J7" s="44">
        <v>33</v>
      </c>
      <c r="K7" s="44">
        <v>33</v>
      </c>
      <c r="L7" s="44">
        <v>33</v>
      </c>
      <c r="M7" s="44">
        <v>33</v>
      </c>
      <c r="N7" s="44">
        <v>33</v>
      </c>
    </row>
    <row r="8" spans="1:14" ht="30" customHeight="1" thickBot="1" x14ac:dyDescent="0.35">
      <c r="A8" s="3"/>
      <c r="B8" s="119" t="s">
        <v>44</v>
      </c>
      <c r="C8" s="212">
        <f>C9+C14+C29</f>
        <v>2491</v>
      </c>
      <c r="D8" s="224">
        <f>D9+D14</f>
        <v>1303.5</v>
      </c>
      <c r="E8" s="342">
        <f>E17+E29</f>
        <v>1187.5</v>
      </c>
      <c r="F8" s="345"/>
      <c r="G8" s="346"/>
      <c r="H8" s="16"/>
      <c r="I8" s="3"/>
      <c r="J8" s="330" t="s">
        <v>51</v>
      </c>
      <c r="K8" s="331"/>
      <c r="L8" s="331"/>
      <c r="M8" s="331"/>
      <c r="N8" s="331"/>
    </row>
    <row r="9" spans="1:14" ht="30" customHeight="1" thickBot="1" x14ac:dyDescent="0.35">
      <c r="A9" s="113" t="s">
        <v>45</v>
      </c>
      <c r="B9" s="113" t="s">
        <v>12</v>
      </c>
      <c r="C9" s="222">
        <f>C10+C11+C12+C13</f>
        <v>1584</v>
      </c>
      <c r="D9" s="227">
        <f>D10+D11+D12+D13</f>
        <v>973.5</v>
      </c>
      <c r="E9" s="342">
        <f>E13+F11+G10+G12</f>
        <v>610.5</v>
      </c>
      <c r="F9" s="345"/>
      <c r="G9" s="346"/>
      <c r="H9" s="1"/>
      <c r="I9" s="1"/>
      <c r="J9" s="1"/>
      <c r="K9" s="1"/>
      <c r="L9" s="1"/>
      <c r="M9" s="1"/>
      <c r="N9" s="1"/>
    </row>
    <row r="10" spans="1:14" s="7" customFormat="1" ht="30" customHeight="1" thickBot="1" x14ac:dyDescent="0.4">
      <c r="A10" s="6" t="s">
        <v>61</v>
      </c>
      <c r="B10" s="112" t="s">
        <v>7</v>
      </c>
      <c r="C10" s="193">
        <f>D10+G10+E10+F10</f>
        <v>924</v>
      </c>
      <c r="D10" s="226">
        <f>3*J7+3*K7+3*L7+4*M7+4*N7</f>
        <v>561</v>
      </c>
      <c r="E10" s="234"/>
      <c r="F10" s="234"/>
      <c r="G10" s="193">
        <f>J10*J7+K10*K7+L10*L7+M10*M7+N10*N7</f>
        <v>363</v>
      </c>
      <c r="H10" s="134" t="s">
        <v>132</v>
      </c>
      <c r="I10" s="39" t="s">
        <v>133</v>
      </c>
      <c r="J10" s="26">
        <v>2</v>
      </c>
      <c r="K10" s="26">
        <v>2</v>
      </c>
      <c r="L10" s="26">
        <v>2</v>
      </c>
      <c r="M10" s="26">
        <v>2</v>
      </c>
      <c r="N10" s="26">
        <v>3</v>
      </c>
    </row>
    <row r="11" spans="1:14" s="7" customFormat="1" ht="30" customHeight="1" thickBot="1" x14ac:dyDescent="0.4">
      <c r="A11" s="6" t="s">
        <v>62</v>
      </c>
      <c r="B11" s="112" t="s">
        <v>19</v>
      </c>
      <c r="C11" s="193">
        <f t="shared" ref="C11:C13" si="0">D11+G11+E11+F11</f>
        <v>264</v>
      </c>
      <c r="D11" s="226">
        <f>1*K7+1*L7+1*M7+1*N7</f>
        <v>132</v>
      </c>
      <c r="E11" s="234"/>
      <c r="F11" s="234">
        <f>M11*M7+N11*N7+K11*K7+L11*L7</f>
        <v>132</v>
      </c>
      <c r="G11" s="193"/>
      <c r="H11" s="134" t="s">
        <v>134</v>
      </c>
      <c r="I11" s="39"/>
      <c r="J11" s="26"/>
      <c r="K11" s="26">
        <v>1</v>
      </c>
      <c r="L11" s="26">
        <v>1</v>
      </c>
      <c r="M11" s="26">
        <v>1</v>
      </c>
      <c r="N11" s="26">
        <v>1</v>
      </c>
    </row>
    <row r="12" spans="1:14" s="7" customFormat="1" ht="30" customHeight="1" thickBot="1" x14ac:dyDescent="0.4">
      <c r="A12" s="6" t="s">
        <v>63</v>
      </c>
      <c r="B12" s="112" t="s">
        <v>5</v>
      </c>
      <c r="C12" s="193">
        <f t="shared" si="0"/>
        <v>346.5</v>
      </c>
      <c r="D12" s="226">
        <f>2*K7+2*L7+2*M7+2*N7</f>
        <v>264</v>
      </c>
      <c r="E12" s="234"/>
      <c r="F12" s="234"/>
      <c r="G12" s="193">
        <f>N12*N7+M12*M7+L12*L7+K12*K7</f>
        <v>82.5</v>
      </c>
      <c r="H12" s="134" t="s">
        <v>135</v>
      </c>
      <c r="I12" s="39"/>
      <c r="J12" s="26"/>
      <c r="K12" s="26">
        <v>0.5</v>
      </c>
      <c r="L12" s="26">
        <v>0.5</v>
      </c>
      <c r="M12" s="26">
        <v>0.5</v>
      </c>
      <c r="N12" s="26">
        <v>1</v>
      </c>
    </row>
    <row r="13" spans="1:14" s="7" customFormat="1" ht="30" customHeight="1" thickBot="1" x14ac:dyDescent="0.4">
      <c r="A13" s="6" t="s">
        <v>64</v>
      </c>
      <c r="B13" s="118" t="s">
        <v>15</v>
      </c>
      <c r="C13" s="193">
        <f t="shared" si="0"/>
        <v>49.5</v>
      </c>
      <c r="D13" s="226">
        <f>0.5*J7</f>
        <v>16.5</v>
      </c>
      <c r="E13" s="193">
        <f>J13*J7+K13*K7+L13*L7+M13*M7+N13*N7</f>
        <v>33</v>
      </c>
      <c r="F13" s="234"/>
      <c r="G13" s="193"/>
      <c r="H13" s="134">
        <v>2</v>
      </c>
      <c r="I13" s="39"/>
      <c r="J13" s="26">
        <v>1</v>
      </c>
      <c r="K13" s="26"/>
      <c r="L13" s="26"/>
      <c r="M13" s="26"/>
      <c r="N13" s="26"/>
    </row>
    <row r="14" spans="1:14" ht="30" customHeight="1" thickBot="1" x14ac:dyDescent="0.35">
      <c r="A14" s="113" t="s">
        <v>65</v>
      </c>
      <c r="B14" s="113" t="s">
        <v>0</v>
      </c>
      <c r="C14" s="221">
        <f>C15+C16</f>
        <v>759</v>
      </c>
      <c r="D14" s="219">
        <f>D15+D16</f>
        <v>330</v>
      </c>
      <c r="E14" s="339">
        <f>F15+F16</f>
        <v>429</v>
      </c>
      <c r="F14" s="340"/>
      <c r="G14" s="341"/>
      <c r="H14" s="1"/>
      <c r="I14" s="1"/>
      <c r="J14" s="1"/>
      <c r="K14" s="1"/>
      <c r="L14" s="1"/>
      <c r="M14" s="1"/>
      <c r="N14" s="1"/>
    </row>
    <row r="15" spans="1:14" s="7" customFormat="1" ht="30" customHeight="1" thickBot="1" x14ac:dyDescent="0.4">
      <c r="A15" s="6" t="s">
        <v>66</v>
      </c>
      <c r="B15" s="112" t="s">
        <v>1</v>
      </c>
      <c r="C15" s="193">
        <f>D15+E15+F15+G15</f>
        <v>412.5</v>
      </c>
      <c r="D15" s="226">
        <f>1*J7+1*K7+1*L7+1*M7+1*N7</f>
        <v>165</v>
      </c>
      <c r="E15" s="193"/>
      <c r="F15" s="193">
        <f>J15*J7+K15*K7+L15*L7+M15*M7+N15*N7</f>
        <v>247.5</v>
      </c>
      <c r="G15" s="193"/>
      <c r="H15" s="39" t="s">
        <v>136</v>
      </c>
      <c r="I15" s="40">
        <v>6</v>
      </c>
      <c r="J15" s="26">
        <v>1.5</v>
      </c>
      <c r="K15" s="26">
        <v>1.5</v>
      </c>
      <c r="L15" s="26">
        <v>1.5</v>
      </c>
      <c r="M15" s="26">
        <v>1.5</v>
      </c>
      <c r="N15" s="26">
        <v>1.5</v>
      </c>
    </row>
    <row r="16" spans="1:14" s="7" customFormat="1" ht="42" customHeight="1" thickBot="1" x14ac:dyDescent="0.4">
      <c r="A16" s="6" t="s">
        <v>67</v>
      </c>
      <c r="B16" s="41" t="s">
        <v>41</v>
      </c>
      <c r="C16" s="193">
        <f>D16+E16+F16+G16</f>
        <v>346.5</v>
      </c>
      <c r="D16" s="226">
        <f>1*J7+1*K7+1*L7+1*M7+1*N7</f>
        <v>165</v>
      </c>
      <c r="E16" s="193"/>
      <c r="F16" s="193">
        <f>M16*M7+N16*N7+L16*L7+K16*K7+J16*J7</f>
        <v>181.5</v>
      </c>
      <c r="G16" s="193"/>
      <c r="H16" s="39">
        <v>7.9</v>
      </c>
      <c r="I16" s="40">
        <v>8</v>
      </c>
      <c r="J16" s="26">
        <v>1</v>
      </c>
      <c r="K16" s="26">
        <v>1</v>
      </c>
      <c r="L16" s="26">
        <v>1</v>
      </c>
      <c r="M16" s="26">
        <v>1</v>
      </c>
      <c r="N16" s="26">
        <v>1.5</v>
      </c>
    </row>
    <row r="17" spans="1:14" s="7" customFormat="1" ht="30" customHeight="1" thickBot="1" x14ac:dyDescent="0.4">
      <c r="A17" s="426" t="s">
        <v>171</v>
      </c>
      <c r="B17" s="427"/>
      <c r="C17" s="428"/>
      <c r="D17" s="346"/>
      <c r="E17" s="342">
        <f>E14+E9</f>
        <v>1039.5</v>
      </c>
      <c r="F17" s="343"/>
      <c r="G17" s="344"/>
      <c r="H17" s="39"/>
      <c r="I17" s="40"/>
      <c r="J17" s="50">
        <f>SUM(J10:J16)</f>
        <v>5.5</v>
      </c>
      <c r="K17" s="50">
        <f>SUM(K10:K16)</f>
        <v>6</v>
      </c>
      <c r="L17" s="50">
        <f>SUM(L10:L16)</f>
        <v>6</v>
      </c>
      <c r="M17" s="50">
        <f>SUM(M10:M16)</f>
        <v>6</v>
      </c>
      <c r="N17" s="50">
        <f>SUM(N10:N16)</f>
        <v>8</v>
      </c>
    </row>
    <row r="18" spans="1:14" s="7" customFormat="1" ht="30" customHeight="1" thickBot="1" x14ac:dyDescent="0.4">
      <c r="A18" s="434" t="s">
        <v>170</v>
      </c>
      <c r="B18" s="366"/>
      <c r="C18" s="243">
        <f>D18+E18</f>
        <v>2343</v>
      </c>
      <c r="D18" s="231">
        <f>D9+D14</f>
        <v>1303.5</v>
      </c>
      <c r="E18" s="342">
        <f>E17</f>
        <v>1039.5</v>
      </c>
      <c r="F18" s="343"/>
      <c r="G18" s="344"/>
      <c r="H18" s="39"/>
      <c r="I18" s="40"/>
      <c r="J18" s="50"/>
      <c r="K18" s="50"/>
      <c r="L18" s="50"/>
      <c r="M18" s="50"/>
      <c r="N18" s="50"/>
    </row>
    <row r="19" spans="1:14" ht="38.25" customHeight="1" thickBot="1" x14ac:dyDescent="0.35">
      <c r="A19" s="424" t="s">
        <v>172</v>
      </c>
      <c r="B19" s="395"/>
      <c r="C19" s="375"/>
      <c r="D19" s="408"/>
      <c r="E19" s="339"/>
      <c r="F19" s="412"/>
      <c r="G19" s="413"/>
      <c r="H19" s="132">
        <v>18</v>
      </c>
      <c r="I19" s="133">
        <v>6</v>
      </c>
      <c r="J19" s="50"/>
      <c r="K19" s="50"/>
      <c r="L19" s="50"/>
      <c r="M19" s="50"/>
      <c r="N19" s="50"/>
    </row>
    <row r="20" spans="1:14" s="7" customFormat="1" ht="30" customHeight="1" thickBot="1" x14ac:dyDescent="0.4">
      <c r="A20" s="115" t="s">
        <v>70</v>
      </c>
      <c r="B20" s="98" t="s">
        <v>2</v>
      </c>
      <c r="C20" s="230">
        <f>D20+E20</f>
        <v>528</v>
      </c>
      <c r="D20" s="230">
        <f>D21+D22+D24+D25</f>
        <v>49.5</v>
      </c>
      <c r="E20" s="342">
        <f>F24+F25+G22+F21+E23</f>
        <v>478.5</v>
      </c>
      <c r="F20" s="345"/>
      <c r="G20" s="346"/>
      <c r="H20" s="1"/>
      <c r="I20" s="1"/>
      <c r="J20" s="1"/>
      <c r="K20" s="1"/>
      <c r="L20" s="1"/>
      <c r="M20" s="1"/>
      <c r="N20" s="1"/>
    </row>
    <row r="21" spans="1:14" s="7" customFormat="1" ht="30" customHeight="1" thickBot="1" x14ac:dyDescent="0.4">
      <c r="A21" s="6" t="s">
        <v>155</v>
      </c>
      <c r="B21" s="37" t="s">
        <v>119</v>
      </c>
      <c r="C21" s="228">
        <f>D21+E21+F21+G21</f>
        <v>66</v>
      </c>
      <c r="D21" s="229"/>
      <c r="E21" s="195"/>
      <c r="F21" s="226">
        <f>J21*J7+K21*K7+L21*L7+M21*M7</f>
        <v>66</v>
      </c>
      <c r="G21" s="226"/>
      <c r="H21" s="24"/>
      <c r="I21" s="2"/>
      <c r="J21" s="2">
        <v>0.5</v>
      </c>
      <c r="K21" s="4">
        <v>0.5</v>
      </c>
      <c r="L21" s="4">
        <v>0.5</v>
      </c>
      <c r="M21" s="4">
        <v>0.5</v>
      </c>
      <c r="N21" s="4"/>
    </row>
    <row r="22" spans="1:14" s="7" customFormat="1" ht="30" customHeight="1" thickBot="1" x14ac:dyDescent="0.4">
      <c r="A22" s="6" t="s">
        <v>156</v>
      </c>
      <c r="B22" s="112" t="s">
        <v>5</v>
      </c>
      <c r="C22" s="228">
        <f>D22+E22+F22+G22</f>
        <v>49.5</v>
      </c>
      <c r="D22" s="229"/>
      <c r="E22" s="193"/>
      <c r="F22" s="193"/>
      <c r="G22" s="193">
        <f>L22*L7+M22*M7+K22*K7</f>
        <v>49.5</v>
      </c>
      <c r="H22" s="2"/>
      <c r="I22" s="2"/>
      <c r="J22" s="4"/>
      <c r="K22" s="4">
        <v>0.5</v>
      </c>
      <c r="L22" s="4">
        <v>0.5</v>
      </c>
      <c r="M22" s="4">
        <v>0.5</v>
      </c>
      <c r="N22" s="4"/>
    </row>
    <row r="23" spans="1:14" s="7" customFormat="1" ht="30" customHeight="1" thickBot="1" x14ac:dyDescent="0.4">
      <c r="A23" s="6" t="s">
        <v>157</v>
      </c>
      <c r="B23" s="126" t="s">
        <v>22</v>
      </c>
      <c r="C23" s="193">
        <f>D23+E23+F23+G23</f>
        <v>330</v>
      </c>
      <c r="D23" s="279">
        <f>0.5*33*4</f>
        <v>66</v>
      </c>
      <c r="E23" s="193">
        <f>J23*J7+K23*K7+L23*L7+M23*M7+N23*N7</f>
        <v>264</v>
      </c>
      <c r="F23" s="193"/>
      <c r="G23" s="279"/>
      <c r="H23" s="213" t="s">
        <v>128</v>
      </c>
      <c r="I23" s="2"/>
      <c r="J23" s="4"/>
      <c r="K23" s="4">
        <v>2</v>
      </c>
      <c r="L23" s="4">
        <v>2</v>
      </c>
      <c r="M23" s="4">
        <v>2</v>
      </c>
      <c r="N23" s="4">
        <v>2</v>
      </c>
    </row>
    <row r="24" spans="1:14" s="7" customFormat="1" ht="30" customHeight="1" thickBot="1" x14ac:dyDescent="0.4">
      <c r="A24" s="6" t="s">
        <v>71</v>
      </c>
      <c r="B24" s="37" t="s">
        <v>3</v>
      </c>
      <c r="C24" s="226">
        <f>D24+E24+F24+G24</f>
        <v>33</v>
      </c>
      <c r="D24" s="226">
        <f>N24*N7</f>
        <v>16.5</v>
      </c>
      <c r="E24" s="195"/>
      <c r="F24" s="226">
        <f>N24*N7</f>
        <v>16.5</v>
      </c>
      <c r="G24" s="226"/>
      <c r="H24" s="24">
        <v>10</v>
      </c>
      <c r="I24" s="2"/>
      <c r="J24" s="2"/>
      <c r="K24" s="4"/>
      <c r="L24" s="4"/>
      <c r="M24" s="4"/>
      <c r="N24" s="4">
        <v>0.5</v>
      </c>
    </row>
    <row r="25" spans="1:14" s="7" customFormat="1" ht="30" customHeight="1" thickBot="1" x14ac:dyDescent="0.4">
      <c r="A25" s="6" t="s">
        <v>189</v>
      </c>
      <c r="B25" s="41" t="s">
        <v>19</v>
      </c>
      <c r="C25" s="226">
        <f>D25+E25+F25+G25</f>
        <v>115.5</v>
      </c>
      <c r="D25" s="226">
        <f>1*J7</f>
        <v>33</v>
      </c>
      <c r="E25" s="226"/>
      <c r="F25" s="226">
        <f>J25*J7+K25*K7+L25*L7+M25*M7+N25*N7</f>
        <v>82.5</v>
      </c>
      <c r="G25" s="189"/>
      <c r="H25" s="2">
        <v>2</v>
      </c>
      <c r="I25" s="2"/>
      <c r="J25" s="2">
        <v>0.5</v>
      </c>
      <c r="K25" s="2">
        <v>0.5</v>
      </c>
      <c r="L25" s="2">
        <v>0.5</v>
      </c>
      <c r="M25" s="2">
        <v>0.5</v>
      </c>
      <c r="N25" s="2">
        <v>0.5</v>
      </c>
    </row>
    <row r="26" spans="1:14" s="7" customFormat="1" ht="30" customHeight="1" thickBot="1" x14ac:dyDescent="0.4">
      <c r="A26" s="394" t="s">
        <v>72</v>
      </c>
      <c r="B26" s="395"/>
      <c r="C26" s="436"/>
      <c r="D26" s="437"/>
      <c r="E26" s="386">
        <f>E17+E20</f>
        <v>1518</v>
      </c>
      <c r="F26" s="387"/>
      <c r="G26" s="388"/>
      <c r="H26" s="71"/>
      <c r="I26" s="71"/>
      <c r="J26" s="72">
        <f>J17+J24+J25+J22+J21+J23</f>
        <v>6.5</v>
      </c>
      <c r="K26" s="72">
        <f t="shared" ref="K26:N26" si="1">K17+K24+K25+K22+K21+K23</f>
        <v>9.5</v>
      </c>
      <c r="L26" s="72">
        <f t="shared" si="1"/>
        <v>9.5</v>
      </c>
      <c r="M26" s="72">
        <f t="shared" si="1"/>
        <v>9.5</v>
      </c>
      <c r="N26" s="72">
        <f t="shared" si="1"/>
        <v>11</v>
      </c>
    </row>
    <row r="27" spans="1:14" s="7" customFormat="1" ht="30" customHeight="1" thickBot="1" x14ac:dyDescent="0.4">
      <c r="A27" s="424" t="s">
        <v>164</v>
      </c>
      <c r="B27" s="424"/>
      <c r="C27" s="242">
        <f>C18+C20</f>
        <v>2871</v>
      </c>
      <c r="D27" s="242">
        <f>D18+D20</f>
        <v>1353</v>
      </c>
      <c r="E27" s="342">
        <f>E26</f>
        <v>1518</v>
      </c>
      <c r="F27" s="343"/>
      <c r="G27" s="435"/>
      <c r="H27" s="238"/>
      <c r="I27" s="238"/>
      <c r="J27" s="239"/>
      <c r="K27" s="239"/>
      <c r="L27" s="239"/>
      <c r="M27" s="239"/>
      <c r="N27" s="240"/>
    </row>
    <row r="28" spans="1:14" s="7" customFormat="1" ht="30.75" customHeight="1" thickBot="1" x14ac:dyDescent="0.4">
      <c r="A28" s="429" t="s">
        <v>173</v>
      </c>
      <c r="B28" s="430"/>
      <c r="C28" s="225"/>
      <c r="D28" s="225"/>
      <c r="E28" s="431"/>
      <c r="F28" s="432"/>
      <c r="G28" s="433"/>
      <c r="H28" s="143">
        <v>20</v>
      </c>
      <c r="I28" s="144">
        <v>6</v>
      </c>
      <c r="J28" s="145"/>
      <c r="K28" s="145"/>
      <c r="L28" s="145"/>
      <c r="M28" s="145"/>
      <c r="N28" s="146"/>
    </row>
    <row r="29" spans="1:14" s="7" customFormat="1" ht="30" customHeight="1" thickTop="1" thickBot="1" x14ac:dyDescent="0.4">
      <c r="A29" s="116" t="s">
        <v>73</v>
      </c>
      <c r="B29" s="97" t="s">
        <v>74</v>
      </c>
      <c r="C29" s="362">
        <f>E29</f>
        <v>148</v>
      </c>
      <c r="D29" s="421"/>
      <c r="E29" s="362">
        <f>E32+F34+G33+F31+G30+F35+E36</f>
        <v>148</v>
      </c>
      <c r="F29" s="363"/>
      <c r="G29" s="364"/>
      <c r="H29" s="74"/>
      <c r="I29" s="74"/>
      <c r="J29" s="403" t="s">
        <v>91</v>
      </c>
      <c r="K29" s="420"/>
      <c r="L29" s="420"/>
      <c r="M29" s="420"/>
      <c r="N29" s="404"/>
    </row>
    <row r="30" spans="1:14" s="7" customFormat="1" ht="30" customHeight="1" thickBot="1" x14ac:dyDescent="0.4">
      <c r="A30" s="6" t="s">
        <v>75</v>
      </c>
      <c r="B30" s="69" t="s">
        <v>7</v>
      </c>
      <c r="C30" s="124"/>
      <c r="D30" s="124"/>
      <c r="E30" s="193"/>
      <c r="F30" s="193"/>
      <c r="G30" s="193">
        <f>J30+K30+L30+M30+N30</f>
        <v>40</v>
      </c>
      <c r="H30" s="5"/>
      <c r="I30" s="5"/>
      <c r="J30" s="4">
        <v>4</v>
      </c>
      <c r="K30" s="4">
        <v>6</v>
      </c>
      <c r="L30" s="4">
        <v>10</v>
      </c>
      <c r="M30" s="4">
        <v>10</v>
      </c>
      <c r="N30" s="4">
        <v>10</v>
      </c>
    </row>
    <row r="31" spans="1:14" s="7" customFormat="1" ht="30" customHeight="1" thickBot="1" x14ac:dyDescent="0.4">
      <c r="A31" s="6" t="s">
        <v>76</v>
      </c>
      <c r="B31" s="69" t="s">
        <v>95</v>
      </c>
      <c r="C31" s="124"/>
      <c r="D31" s="124"/>
      <c r="E31" s="193"/>
      <c r="F31" s="193">
        <f>K31+L31+M31+N31+J31</f>
        <v>30</v>
      </c>
      <c r="G31" s="193"/>
      <c r="H31" s="5"/>
      <c r="I31" s="5"/>
      <c r="J31" s="4">
        <v>2</v>
      </c>
      <c r="K31" s="4">
        <v>4</v>
      </c>
      <c r="L31" s="4">
        <v>8</v>
      </c>
      <c r="M31" s="4">
        <v>8</v>
      </c>
      <c r="N31" s="4">
        <v>8</v>
      </c>
    </row>
    <row r="32" spans="1:14" s="7" customFormat="1" ht="30" customHeight="1" thickBot="1" x14ac:dyDescent="0.4">
      <c r="A32" s="6" t="s">
        <v>77</v>
      </c>
      <c r="B32" s="69" t="s">
        <v>96</v>
      </c>
      <c r="C32" s="124"/>
      <c r="D32" s="124"/>
      <c r="E32" s="193">
        <f>J32+K32+L32+M32+N32</f>
        <v>2</v>
      </c>
      <c r="F32" s="193"/>
      <c r="G32" s="193"/>
      <c r="H32" s="5"/>
      <c r="I32" s="5"/>
      <c r="J32" s="4">
        <v>2</v>
      </c>
      <c r="K32" s="4"/>
      <c r="L32" s="4"/>
      <c r="M32" s="4"/>
      <c r="N32" s="4"/>
    </row>
    <row r="33" spans="1:14" s="7" customFormat="1" ht="30" customHeight="1" thickBot="1" x14ac:dyDescent="0.4">
      <c r="A33" s="6" t="s">
        <v>78</v>
      </c>
      <c r="B33" s="69" t="s">
        <v>5</v>
      </c>
      <c r="C33" s="124"/>
      <c r="D33" s="124"/>
      <c r="E33" s="193"/>
      <c r="F33" s="193"/>
      <c r="G33" s="193">
        <f>J33+K33+L33+M33+N33</f>
        <v>16</v>
      </c>
      <c r="H33" s="5"/>
      <c r="I33" s="5"/>
      <c r="J33" s="4"/>
      <c r="K33" s="4">
        <v>4</v>
      </c>
      <c r="L33" s="4">
        <v>4</v>
      </c>
      <c r="M33" s="4">
        <v>4</v>
      </c>
      <c r="N33" s="4">
        <v>4</v>
      </c>
    </row>
    <row r="34" spans="1:14" s="7" customFormat="1" ht="30" customHeight="1" thickBot="1" x14ac:dyDescent="0.4">
      <c r="A34" s="6" t="s">
        <v>79</v>
      </c>
      <c r="B34" s="70" t="s">
        <v>1</v>
      </c>
      <c r="C34" s="232"/>
      <c r="D34" s="232"/>
      <c r="E34" s="193"/>
      <c r="F34" s="193">
        <f>J34+K34+L34+M34+N34</f>
        <v>18</v>
      </c>
      <c r="G34" s="193"/>
      <c r="H34" s="5"/>
      <c r="I34" s="5"/>
      <c r="J34" s="4">
        <v>2</v>
      </c>
      <c r="K34" s="4">
        <v>2</v>
      </c>
      <c r="L34" s="4">
        <v>4</v>
      </c>
      <c r="M34" s="4">
        <v>4</v>
      </c>
      <c r="N34" s="4">
        <v>6</v>
      </c>
    </row>
    <row r="35" spans="1:14" s="7" customFormat="1" ht="30" customHeight="1" thickBot="1" x14ac:dyDescent="0.4">
      <c r="A35" s="6" t="s">
        <v>110</v>
      </c>
      <c r="B35" s="70" t="s">
        <v>98</v>
      </c>
      <c r="C35" s="232"/>
      <c r="D35" s="237"/>
      <c r="E35" s="193"/>
      <c r="F35" s="193">
        <f>J35+K35+L35+M35+N35</f>
        <v>10</v>
      </c>
      <c r="G35" s="193"/>
      <c r="H35" s="5"/>
      <c r="I35" s="5"/>
      <c r="J35" s="4"/>
      <c r="K35" s="4">
        <v>2</v>
      </c>
      <c r="L35" s="4">
        <v>2</v>
      </c>
      <c r="M35" s="4">
        <v>2</v>
      </c>
      <c r="N35" s="4">
        <v>4</v>
      </c>
    </row>
    <row r="36" spans="1:14" s="7" customFormat="1" ht="30" customHeight="1" thickBot="1" x14ac:dyDescent="0.4">
      <c r="A36" s="6" t="s">
        <v>113</v>
      </c>
      <c r="B36" s="69" t="s">
        <v>111</v>
      </c>
      <c r="C36" s="124"/>
      <c r="D36" s="184"/>
      <c r="E36" s="63">
        <f>J36+K36+L36+M36+N36+O36+P36+Q36</f>
        <v>32</v>
      </c>
      <c r="F36" s="93"/>
      <c r="G36" s="94"/>
      <c r="H36" s="5"/>
      <c r="I36" s="5"/>
      <c r="J36" s="4"/>
      <c r="K36" s="4">
        <v>8</v>
      </c>
      <c r="L36" s="4">
        <v>8</v>
      </c>
      <c r="M36" s="4">
        <v>8</v>
      </c>
      <c r="N36" s="4">
        <v>8</v>
      </c>
    </row>
    <row r="37" spans="1:14" s="7" customFormat="1" ht="30" customHeight="1" thickBot="1" x14ac:dyDescent="0.4">
      <c r="A37" s="365" t="s">
        <v>148</v>
      </c>
      <c r="B37" s="366"/>
      <c r="C37" s="185"/>
      <c r="D37" s="185"/>
      <c r="E37" s="87"/>
      <c r="F37" s="88"/>
      <c r="G37" s="89"/>
      <c r="H37" s="78"/>
      <c r="I37" s="78"/>
      <c r="J37" s="5">
        <f>SUM(J30:J35)</f>
        <v>10</v>
      </c>
      <c r="K37" s="5">
        <f>SUM(K30:K36)</f>
        <v>26</v>
      </c>
      <c r="L37" s="5">
        <f>SUM(L30:L36)</f>
        <v>36</v>
      </c>
      <c r="M37" s="5">
        <f>SUM(M30:M36)</f>
        <v>36</v>
      </c>
      <c r="N37" s="5">
        <f>SUM(N30:N36)</f>
        <v>40</v>
      </c>
    </row>
    <row r="38" spans="1:14" s="7" customFormat="1" ht="30" customHeight="1" thickBot="1" x14ac:dyDescent="0.4">
      <c r="A38" s="81"/>
      <c r="B38" s="82"/>
      <c r="C38" s="17"/>
      <c r="D38" s="17"/>
      <c r="E38" s="17"/>
      <c r="F38" s="218"/>
      <c r="G38" s="20"/>
      <c r="H38" s="17"/>
      <c r="I38" s="17"/>
      <c r="J38" s="19"/>
      <c r="K38" s="19"/>
      <c r="L38" s="19"/>
      <c r="M38" s="19"/>
      <c r="N38" s="19"/>
    </row>
    <row r="39" spans="1:14" s="7" customFormat="1" ht="30" customHeight="1" x14ac:dyDescent="0.35">
      <c r="A39" s="117" t="s">
        <v>80</v>
      </c>
      <c r="B39" s="77" t="s">
        <v>83</v>
      </c>
      <c r="C39" s="186"/>
      <c r="D39" s="186"/>
      <c r="E39" s="332" t="s">
        <v>94</v>
      </c>
      <c r="F39" s="333"/>
      <c r="G39" s="333"/>
      <c r="H39" s="333"/>
      <c r="I39" s="333"/>
      <c r="J39" s="333"/>
      <c r="K39" s="333"/>
      <c r="L39" s="333"/>
      <c r="M39" s="333"/>
      <c r="N39" s="333"/>
    </row>
    <row r="40" spans="1:14" s="7" customFormat="1" ht="30" customHeight="1" x14ac:dyDescent="0.35">
      <c r="A40" s="122" t="s">
        <v>81</v>
      </c>
      <c r="B40" s="75" t="s">
        <v>82</v>
      </c>
      <c r="C40" s="275">
        <f>J40+K40+L40+M40</f>
        <v>4</v>
      </c>
      <c r="D40" s="75"/>
      <c r="E40" s="95"/>
      <c r="F40" s="53"/>
      <c r="G40" s="75"/>
      <c r="H40" s="53"/>
      <c r="I40" s="53"/>
      <c r="J40" s="95">
        <v>1</v>
      </c>
      <c r="K40" s="95">
        <v>1</v>
      </c>
      <c r="L40" s="95">
        <v>1</v>
      </c>
      <c r="M40" s="95">
        <v>1</v>
      </c>
      <c r="N40" s="95"/>
    </row>
    <row r="41" spans="1:14" s="7" customFormat="1" ht="30" customHeight="1" x14ac:dyDescent="0.35">
      <c r="A41" s="122" t="s">
        <v>84</v>
      </c>
      <c r="B41" s="75" t="s">
        <v>85</v>
      </c>
      <c r="C41" s="75">
        <f>C42+C43+C44</f>
        <v>2</v>
      </c>
      <c r="D41" s="75"/>
      <c r="E41" s="53"/>
      <c r="F41" s="53"/>
      <c r="G41" s="75"/>
      <c r="H41" s="53"/>
      <c r="I41" s="53"/>
      <c r="J41" s="95"/>
      <c r="K41" s="95"/>
      <c r="L41" s="95"/>
      <c r="M41" s="95"/>
      <c r="N41" s="95">
        <v>2</v>
      </c>
    </row>
    <row r="42" spans="1:14" s="7" customFormat="1" ht="30" customHeight="1" x14ac:dyDescent="0.35">
      <c r="A42" s="122" t="s">
        <v>86</v>
      </c>
      <c r="B42" s="75" t="s">
        <v>89</v>
      </c>
      <c r="C42" s="75">
        <v>1</v>
      </c>
      <c r="D42" s="75"/>
      <c r="E42" s="53"/>
      <c r="F42" s="53"/>
      <c r="G42" s="75"/>
      <c r="H42" s="53"/>
      <c r="I42" s="53"/>
      <c r="J42" s="61"/>
      <c r="K42" s="61"/>
      <c r="L42" s="61"/>
      <c r="M42" s="61"/>
      <c r="N42" s="61"/>
    </row>
    <row r="43" spans="1:14" s="7" customFormat="1" ht="30" customHeight="1" x14ac:dyDescent="0.35">
      <c r="A43" s="122" t="s">
        <v>87</v>
      </c>
      <c r="B43" s="75" t="s">
        <v>1</v>
      </c>
      <c r="C43" s="75">
        <v>0.5</v>
      </c>
      <c r="D43" s="75"/>
      <c r="E43" s="53"/>
      <c r="F43" s="53"/>
      <c r="G43" s="75"/>
      <c r="H43" s="53"/>
      <c r="I43" s="53"/>
      <c r="J43" s="61"/>
      <c r="K43" s="61"/>
      <c r="L43" s="61"/>
      <c r="M43" s="61"/>
      <c r="N43" s="61"/>
    </row>
    <row r="44" spans="1:14" ht="40.200000000000003" customHeight="1" thickBot="1" x14ac:dyDescent="0.35">
      <c r="A44" s="123" t="s">
        <v>88</v>
      </c>
      <c r="B44" s="100" t="s">
        <v>41</v>
      </c>
      <c r="C44" s="100">
        <v>0.5</v>
      </c>
      <c r="D44" s="100"/>
      <c r="E44" s="101"/>
      <c r="F44" s="101"/>
      <c r="G44" s="100"/>
      <c r="H44" s="101"/>
      <c r="I44" s="101"/>
      <c r="J44" s="91"/>
      <c r="K44" s="91"/>
      <c r="L44" s="91"/>
      <c r="M44" s="91"/>
      <c r="N44" s="91"/>
    </row>
    <row r="45" spans="1:14" ht="21" thickBot="1" x14ac:dyDescent="0.35">
      <c r="A45" s="335" t="s">
        <v>93</v>
      </c>
      <c r="B45" s="336"/>
      <c r="C45" s="276">
        <v>5</v>
      </c>
      <c r="D45" s="220"/>
      <c r="E45" s="103"/>
      <c r="F45" s="104"/>
      <c r="G45" s="105"/>
      <c r="H45" s="104"/>
      <c r="I45" s="104"/>
      <c r="J45" s="106"/>
      <c r="K45" s="106"/>
      <c r="L45" s="106"/>
      <c r="M45" s="106"/>
      <c r="N45" s="106"/>
    </row>
    <row r="46" spans="1:14" ht="40.200000000000003" customHeight="1" x14ac:dyDescent="0.3">
      <c r="A46" s="20"/>
      <c r="B46" s="21"/>
      <c r="C46" s="21"/>
      <c r="D46" s="21"/>
      <c r="E46" s="17"/>
      <c r="F46" s="18"/>
      <c r="G46" s="19"/>
      <c r="H46" s="17"/>
      <c r="I46" s="18"/>
      <c r="J46" s="19"/>
      <c r="K46" s="19"/>
      <c r="L46" s="19"/>
      <c r="M46" s="19"/>
      <c r="N46" s="19"/>
    </row>
    <row r="47" spans="1:14" ht="40.200000000000003" customHeight="1" x14ac:dyDescent="0.3">
      <c r="A47" s="370"/>
      <c r="B47" s="370"/>
      <c r="C47" s="223"/>
      <c r="D47" s="223"/>
      <c r="E47" s="17"/>
      <c r="F47" s="18"/>
      <c r="G47" s="21"/>
      <c r="H47" s="17"/>
      <c r="I47" s="18"/>
      <c r="J47" s="21"/>
      <c r="K47" s="17"/>
      <c r="L47" s="17"/>
      <c r="M47" s="17"/>
      <c r="N47" s="17"/>
    </row>
    <row r="48" spans="1:14" ht="18" x14ac:dyDescent="0.3">
      <c r="A48" s="20"/>
      <c r="B48" s="21"/>
      <c r="C48" s="21"/>
      <c r="D48" s="21"/>
      <c r="E48" s="17"/>
      <c r="F48" s="18"/>
      <c r="G48" s="19"/>
      <c r="H48" s="17"/>
      <c r="I48" s="18"/>
      <c r="J48" s="19"/>
      <c r="K48" s="19"/>
      <c r="L48" s="19"/>
      <c r="M48" s="19"/>
      <c r="N48" s="19"/>
    </row>
    <row r="49" spans="1:14" ht="18" x14ac:dyDescent="0.3">
      <c r="A49" s="17"/>
      <c r="B49" s="22"/>
      <c r="C49" s="22"/>
      <c r="D49" s="22"/>
      <c r="E49" s="23"/>
      <c r="F49" s="18"/>
      <c r="G49" s="23"/>
      <c r="H49" s="23"/>
      <c r="I49" s="18"/>
      <c r="J49" s="23"/>
      <c r="K49" s="23"/>
      <c r="L49" s="23"/>
      <c r="M49" s="23"/>
      <c r="N49" s="23"/>
    </row>
  </sheetData>
  <mergeCells count="41">
    <mergeCell ref="E20:G20"/>
    <mergeCell ref="A26:B26"/>
    <mergeCell ref="E26:G26"/>
    <mergeCell ref="E29:G29"/>
    <mergeCell ref="E8:G8"/>
    <mergeCell ref="A19:B19"/>
    <mergeCell ref="E19:G19"/>
    <mergeCell ref="A28:B28"/>
    <mergeCell ref="E28:G28"/>
    <mergeCell ref="A18:B18"/>
    <mergeCell ref="A27:B27"/>
    <mergeCell ref="E18:G18"/>
    <mergeCell ref="E27:G27"/>
    <mergeCell ref="C26:D26"/>
    <mergeCell ref="C19:D19"/>
    <mergeCell ref="J8:N8"/>
    <mergeCell ref="E9:G9"/>
    <mergeCell ref="E14:G14"/>
    <mergeCell ref="A17:B17"/>
    <mergeCell ref="E17:G17"/>
    <mergeCell ref="C17:D17"/>
    <mergeCell ref="A2:N2"/>
    <mergeCell ref="E3:G3"/>
    <mergeCell ref="H3:I3"/>
    <mergeCell ref="J3:N3"/>
    <mergeCell ref="A6:A7"/>
    <mergeCell ref="B6:B7"/>
    <mergeCell ref="E6:G7"/>
    <mergeCell ref="H6:H7"/>
    <mergeCell ref="I6:I7"/>
    <mergeCell ref="J6:N6"/>
    <mergeCell ref="A3:A4"/>
    <mergeCell ref="B3:B4"/>
    <mergeCell ref="C6:C7"/>
    <mergeCell ref="D6:D7"/>
    <mergeCell ref="J29:N29"/>
    <mergeCell ref="A37:B37"/>
    <mergeCell ref="E39:N39"/>
    <mergeCell ref="A45:B45"/>
    <mergeCell ref="A47:B47"/>
    <mergeCell ref="C29:D29"/>
  </mergeCells>
  <printOptions horizontalCentered="1"/>
  <pageMargins left="0.31496062992125984" right="0.31496062992125984" top="0.35433070866141736" bottom="0.15748031496062992" header="0.11811023622047245" footer="0.11811023622047245"/>
  <pageSetup paperSize="9" scale="61" fitToHeight="2" orientation="landscape" r:id="rId1"/>
  <rowBreaks count="1" manualBreakCount="1">
    <brk id="28" max="13" man="1"/>
  </rowBreaks>
  <ignoredErrors>
    <ignoredError sqref="E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8"/>
  <sheetViews>
    <sheetView view="pageBreakPreview" topLeftCell="B19" zoomScale="86" zoomScaleNormal="56" zoomScaleSheetLayoutView="86" workbookViewId="0">
      <selection activeCell="N28" sqref="N28"/>
    </sheetView>
  </sheetViews>
  <sheetFormatPr defaultRowHeight="14.4" x14ac:dyDescent="0.3"/>
  <cols>
    <col min="1" max="1" width="19.5546875" customWidth="1"/>
    <col min="2" max="2" width="60.5546875" customWidth="1"/>
    <col min="3" max="3" width="10.88671875" customWidth="1"/>
    <col min="4" max="4" width="10.5546875" customWidth="1"/>
    <col min="5" max="5" width="7" customWidth="1"/>
    <col min="6" max="7" width="7.109375" customWidth="1"/>
    <col min="8" max="8" width="16.33203125" customWidth="1"/>
    <col min="9" max="9" width="13.44140625" customWidth="1"/>
    <col min="10" max="17" width="7" customWidth="1"/>
  </cols>
  <sheetData>
    <row r="1" spans="1:17" s="29" customFormat="1" ht="27" customHeight="1" x14ac:dyDescent="0.4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8"/>
      <c r="Q1" s="28"/>
    </row>
    <row r="2" spans="1:17" ht="27.6" customHeight="1" thickBot="1" x14ac:dyDescent="0.35">
      <c r="A2" s="369" t="s">
        <v>141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68.400000000000006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  <c r="O3" s="376"/>
      <c r="P3" s="376"/>
      <c r="Q3" s="376"/>
    </row>
    <row r="4" spans="1:17" ht="90.6" customHeight="1" thickBot="1" x14ac:dyDescent="0.35">
      <c r="A4" s="372"/>
      <c r="B4" s="374"/>
      <c r="C4" s="42" t="s">
        <v>160</v>
      </c>
      <c r="D4" s="42" t="s">
        <v>160</v>
      </c>
      <c r="E4" s="42" t="s">
        <v>118</v>
      </c>
      <c r="F4" s="43" t="s">
        <v>48</v>
      </c>
      <c r="G4" s="42" t="s">
        <v>49</v>
      </c>
      <c r="H4" s="16" t="s">
        <v>21</v>
      </c>
      <c r="I4" s="3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  <c r="O4" s="42" t="s">
        <v>59</v>
      </c>
      <c r="P4" s="42" t="s">
        <v>60</v>
      </c>
      <c r="Q4" s="42" t="s">
        <v>90</v>
      </c>
    </row>
    <row r="5" spans="1:17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6">
        <v>10</v>
      </c>
      <c r="K5" s="253">
        <v>11</v>
      </c>
      <c r="L5" s="253">
        <v>12</v>
      </c>
      <c r="M5" s="253">
        <v>13</v>
      </c>
      <c r="N5" s="253">
        <v>14</v>
      </c>
      <c r="O5" s="253">
        <v>15</v>
      </c>
      <c r="P5" s="253">
        <v>16</v>
      </c>
      <c r="Q5" s="254">
        <v>17</v>
      </c>
    </row>
    <row r="6" spans="1:17" ht="19.2" customHeight="1" thickBot="1" x14ac:dyDescent="0.35">
      <c r="A6" s="384"/>
      <c r="B6" s="414" t="s">
        <v>43</v>
      </c>
      <c r="C6" s="414" t="s">
        <v>179</v>
      </c>
      <c r="D6" s="414" t="s">
        <v>180</v>
      </c>
      <c r="E6" s="386" t="s">
        <v>181</v>
      </c>
      <c r="F6" s="387"/>
      <c r="G6" s="388"/>
      <c r="H6" s="384"/>
      <c r="I6" s="384"/>
      <c r="J6" s="380" t="s">
        <v>52</v>
      </c>
      <c r="K6" s="381"/>
      <c r="L6" s="381"/>
      <c r="M6" s="381"/>
      <c r="N6" s="381"/>
      <c r="O6" s="381"/>
      <c r="P6" s="381"/>
      <c r="Q6" s="406"/>
    </row>
    <row r="7" spans="1:17" ht="19.2" customHeight="1" thickBot="1" x14ac:dyDescent="0.35">
      <c r="A7" s="385"/>
      <c r="B7" s="415"/>
      <c r="C7" s="415"/>
      <c r="D7" s="415"/>
      <c r="E7" s="389"/>
      <c r="F7" s="390"/>
      <c r="G7" s="391"/>
      <c r="H7" s="419"/>
      <c r="I7" s="419"/>
      <c r="J7" s="215">
        <v>32</v>
      </c>
      <c r="K7" s="44">
        <v>33</v>
      </c>
      <c r="L7" s="44">
        <v>33</v>
      </c>
      <c r="M7" s="44">
        <v>33</v>
      </c>
      <c r="N7" s="44">
        <v>33</v>
      </c>
      <c r="O7" s="44">
        <v>33</v>
      </c>
      <c r="P7" s="44">
        <v>33</v>
      </c>
      <c r="Q7" s="45">
        <v>33</v>
      </c>
    </row>
    <row r="8" spans="1:17" ht="30" customHeight="1" thickBot="1" x14ac:dyDescent="0.35">
      <c r="A8" s="3"/>
      <c r="B8" s="99" t="s">
        <v>44</v>
      </c>
      <c r="C8" s="212">
        <f>C9+C14+C29</f>
        <v>3553</v>
      </c>
      <c r="D8" s="248">
        <f>D9+D14</f>
        <v>1778</v>
      </c>
      <c r="E8" s="342">
        <f>E18+E29</f>
        <v>1775</v>
      </c>
      <c r="F8" s="345"/>
      <c r="G8" s="346"/>
      <c r="H8" s="16"/>
      <c r="I8" s="3"/>
      <c r="J8" s="330" t="s">
        <v>51</v>
      </c>
      <c r="K8" s="331"/>
      <c r="L8" s="331"/>
      <c r="M8" s="331"/>
      <c r="N8" s="331"/>
      <c r="O8" s="331"/>
      <c r="P8" s="331"/>
      <c r="Q8" s="407"/>
    </row>
    <row r="9" spans="1:17" ht="30" customHeight="1" thickBot="1" x14ac:dyDescent="0.35">
      <c r="A9" s="113" t="s">
        <v>45</v>
      </c>
      <c r="B9" s="113" t="s">
        <v>12</v>
      </c>
      <c r="C9" s="246">
        <f>D9+E9</f>
        <v>2222</v>
      </c>
      <c r="D9" s="249">
        <f>D10+D11+D12+D13</f>
        <v>1301</v>
      </c>
      <c r="E9" s="342">
        <f>E13+F11+G10+G12</f>
        <v>921</v>
      </c>
      <c r="F9" s="345"/>
      <c r="G9" s="346"/>
      <c r="H9" s="1"/>
      <c r="I9" s="1"/>
      <c r="J9" s="216"/>
      <c r="K9" s="1"/>
      <c r="L9" s="1"/>
      <c r="M9" s="1"/>
      <c r="N9" s="1"/>
      <c r="O9" s="1"/>
      <c r="P9" s="1"/>
      <c r="Q9" s="1"/>
    </row>
    <row r="10" spans="1:17" s="7" customFormat="1" ht="30" customHeight="1" thickBot="1" x14ac:dyDescent="0.4">
      <c r="A10" s="6" t="s">
        <v>61</v>
      </c>
      <c r="B10" s="112" t="s">
        <v>7</v>
      </c>
      <c r="C10" s="193">
        <f>D10+E10+F10+G10</f>
        <v>1316</v>
      </c>
      <c r="D10" s="250">
        <f>2*J7+2*K7+2*L7+3*M7+3*N7+3*O7+4*P7+4*Q7</f>
        <v>757</v>
      </c>
      <c r="E10" s="193"/>
      <c r="F10" s="193"/>
      <c r="G10" s="193">
        <f>J10*J7+K10*K7+L10*L7+M10*M7+N10*N7+O10*O7+P10*P7+Q10*Q7</f>
        <v>559</v>
      </c>
      <c r="H10" s="135" t="s">
        <v>123</v>
      </c>
      <c r="I10" s="135" t="s">
        <v>17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3</v>
      </c>
    </row>
    <row r="11" spans="1:17" s="7" customFormat="1" ht="30" customHeight="1" thickBot="1" x14ac:dyDescent="0.4">
      <c r="A11" s="6" t="s">
        <v>62</v>
      </c>
      <c r="B11" s="112" t="s">
        <v>19</v>
      </c>
      <c r="C11" s="193">
        <f t="shared" ref="C11:C13" si="0">D11+E11+F11+G11</f>
        <v>330</v>
      </c>
      <c r="D11" s="250">
        <f>1*M7+1*N7+1*O7+1*P7+1*Q7</f>
        <v>165</v>
      </c>
      <c r="E11" s="193"/>
      <c r="F11" s="193">
        <f>M11*M7+N11*N7+O11*O7+P11*P7+Q11*Q7</f>
        <v>165</v>
      </c>
      <c r="G11" s="193"/>
      <c r="H11" s="135">
        <v>10.119999999999999</v>
      </c>
      <c r="I11" s="135" t="s">
        <v>147</v>
      </c>
      <c r="J11" s="26"/>
      <c r="K11" s="26"/>
      <c r="L11" s="26"/>
      <c r="M11" s="26">
        <v>1</v>
      </c>
      <c r="N11" s="26">
        <v>1</v>
      </c>
      <c r="O11" s="26">
        <v>1</v>
      </c>
      <c r="P11" s="26">
        <v>1</v>
      </c>
      <c r="Q11" s="26">
        <v>1</v>
      </c>
    </row>
    <row r="12" spans="1:17" s="7" customFormat="1" ht="30" customHeight="1" thickBot="1" x14ac:dyDescent="0.4">
      <c r="A12" s="6" t="s">
        <v>63</v>
      </c>
      <c r="B12" s="112" t="s">
        <v>5</v>
      </c>
      <c r="C12" s="193">
        <f t="shared" si="0"/>
        <v>429</v>
      </c>
      <c r="D12" s="250">
        <f>2*M7+2*N7+2*O7+2*P7+2*Q7</f>
        <v>330</v>
      </c>
      <c r="E12" s="252"/>
      <c r="F12" s="252"/>
      <c r="G12" s="252">
        <f>P12*P7+O12*O7+N12*N7+M12*M7+Q12*Q7</f>
        <v>99</v>
      </c>
      <c r="H12" s="135" t="s">
        <v>130</v>
      </c>
      <c r="I12" s="135"/>
      <c r="J12" s="26"/>
      <c r="K12" s="26"/>
      <c r="L12" s="26"/>
      <c r="M12" s="26">
        <v>0.5</v>
      </c>
      <c r="N12" s="26">
        <v>0.5</v>
      </c>
      <c r="O12" s="26">
        <v>0.5</v>
      </c>
      <c r="P12" s="26">
        <v>0.5</v>
      </c>
      <c r="Q12" s="26">
        <v>1</v>
      </c>
    </row>
    <row r="13" spans="1:17" s="7" customFormat="1" ht="30" customHeight="1" thickBot="1" x14ac:dyDescent="0.4">
      <c r="A13" s="6" t="s">
        <v>64</v>
      </c>
      <c r="B13" s="118" t="s">
        <v>15</v>
      </c>
      <c r="C13" s="193">
        <f t="shared" si="0"/>
        <v>147</v>
      </c>
      <c r="D13" s="250">
        <f>0.5*J7+0.5*K7+0.5*L7</f>
        <v>49</v>
      </c>
      <c r="E13" s="63">
        <f>J13*J7+K13*K7+L13*L7+M13*M7+N13*N7+O13*O7+P13*P7+Q13*Q7</f>
        <v>98</v>
      </c>
      <c r="F13" s="64"/>
      <c r="G13" s="65"/>
      <c r="H13" s="283">
        <v>6</v>
      </c>
      <c r="I13" s="135"/>
      <c r="J13" s="26">
        <v>1</v>
      </c>
      <c r="K13" s="26">
        <v>1</v>
      </c>
      <c r="L13" s="26">
        <v>1</v>
      </c>
      <c r="M13" s="26"/>
      <c r="N13" s="26"/>
      <c r="O13" s="26"/>
      <c r="P13" s="26"/>
      <c r="Q13" s="26"/>
    </row>
    <row r="14" spans="1:17" ht="30" customHeight="1" thickBot="1" x14ac:dyDescent="0.35">
      <c r="A14" s="113" t="s">
        <v>65</v>
      </c>
      <c r="B14" s="113" t="s">
        <v>0</v>
      </c>
      <c r="C14" s="246">
        <f>D14+E14</f>
        <v>1135</v>
      </c>
      <c r="D14" s="249">
        <f>D15+D16+D17</f>
        <v>477</v>
      </c>
      <c r="E14" s="342">
        <f>F15+F16+F17</f>
        <v>658</v>
      </c>
      <c r="F14" s="345"/>
      <c r="G14" s="346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30" customHeight="1" thickBot="1" x14ac:dyDescent="0.4">
      <c r="A15" s="6" t="s">
        <v>66</v>
      </c>
      <c r="B15" s="112" t="s">
        <v>1</v>
      </c>
      <c r="C15" s="193">
        <f>D15+E15+F15+G15</f>
        <v>641.5</v>
      </c>
      <c r="D15" s="250">
        <f>J7+K7+L7+M7+N7+O7+P7+Q7</f>
        <v>263</v>
      </c>
      <c r="E15" s="193"/>
      <c r="F15" s="193">
        <f>J15*J7+K15*K7+L15*L7+M15*M7+N15*N7+O15*O7+P15*P7+Q15*Q7</f>
        <v>378.5</v>
      </c>
      <c r="G15" s="193"/>
      <c r="H15" s="39" t="s">
        <v>184</v>
      </c>
      <c r="I15" s="40">
        <v>12</v>
      </c>
      <c r="J15" s="26">
        <v>1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  <c r="P15" s="26">
        <v>1.5</v>
      </c>
      <c r="Q15" s="26">
        <v>1.5</v>
      </c>
    </row>
    <row r="16" spans="1:17" s="7" customFormat="1" ht="30" customHeight="1" thickBot="1" x14ac:dyDescent="0.4">
      <c r="A16" s="6" t="s">
        <v>67</v>
      </c>
      <c r="B16" s="112" t="s">
        <v>18</v>
      </c>
      <c r="C16" s="193">
        <f t="shared" ref="C16:C17" si="1">D16+E16+F16+G16</f>
        <v>147</v>
      </c>
      <c r="D16" s="250">
        <f>0.5*J7+0.5*K7+0.5*L7</f>
        <v>49</v>
      </c>
      <c r="E16" s="193"/>
      <c r="F16" s="193">
        <f>J16*J7+K16*K7+L16*L7</f>
        <v>98</v>
      </c>
      <c r="G16" s="193"/>
      <c r="H16" s="40">
        <v>6</v>
      </c>
      <c r="I16" s="40"/>
      <c r="J16" s="26">
        <v>1</v>
      </c>
      <c r="K16" s="26">
        <v>1</v>
      </c>
      <c r="L16" s="26">
        <v>1</v>
      </c>
      <c r="M16" s="26"/>
      <c r="N16" s="26"/>
      <c r="O16" s="26"/>
      <c r="P16" s="26"/>
      <c r="Q16" s="26"/>
    </row>
    <row r="17" spans="1:17" s="7" customFormat="1" ht="39" customHeight="1" thickBot="1" x14ac:dyDescent="0.4">
      <c r="A17" s="6" t="s">
        <v>68</v>
      </c>
      <c r="B17" s="41" t="s">
        <v>41</v>
      </c>
      <c r="C17" s="193">
        <f t="shared" si="1"/>
        <v>346.5</v>
      </c>
      <c r="D17" s="250">
        <f>1*M7+1*N7+1*O7+1*P7+1*Q7</f>
        <v>165</v>
      </c>
      <c r="E17" s="193"/>
      <c r="F17" s="193">
        <f>M17*M7+N17*N7+O17*O7+P17*P7+Q17*Q7</f>
        <v>181.5</v>
      </c>
      <c r="G17" s="193"/>
      <c r="H17" s="39" t="s">
        <v>131</v>
      </c>
      <c r="I17" s="40">
        <v>14</v>
      </c>
      <c r="J17" s="26"/>
      <c r="K17" s="26"/>
      <c r="L17" s="26"/>
      <c r="M17" s="26">
        <v>1</v>
      </c>
      <c r="N17" s="26">
        <v>1</v>
      </c>
      <c r="O17" s="26">
        <v>1</v>
      </c>
      <c r="P17" s="26">
        <v>1</v>
      </c>
      <c r="Q17" s="26">
        <v>1.5</v>
      </c>
    </row>
    <row r="18" spans="1:17" s="7" customFormat="1" ht="30" customHeight="1" thickBot="1" x14ac:dyDescent="0.4">
      <c r="A18" s="337" t="s">
        <v>171</v>
      </c>
      <c r="B18" s="338"/>
      <c r="C18" s="335"/>
      <c r="D18" s="341"/>
      <c r="E18" s="339">
        <f>E14+E9</f>
        <v>1579</v>
      </c>
      <c r="F18" s="412"/>
      <c r="G18" s="413"/>
      <c r="H18" s="39"/>
      <c r="I18" s="40"/>
      <c r="J18" s="50">
        <f>SUM(J10:J17)</f>
        <v>5</v>
      </c>
      <c r="K18" s="50">
        <f t="shared" ref="K18:Q18" si="2">SUM(K10:K17)</f>
        <v>5.5</v>
      </c>
      <c r="L18" s="50">
        <f t="shared" si="2"/>
        <v>5.5</v>
      </c>
      <c r="M18" s="50">
        <f t="shared" si="2"/>
        <v>6</v>
      </c>
      <c r="N18" s="50">
        <f t="shared" si="2"/>
        <v>6</v>
      </c>
      <c r="O18" s="50">
        <f t="shared" si="2"/>
        <v>6</v>
      </c>
      <c r="P18" s="50">
        <f t="shared" si="2"/>
        <v>6</v>
      </c>
      <c r="Q18" s="50">
        <f t="shared" si="2"/>
        <v>8</v>
      </c>
    </row>
    <row r="19" spans="1:17" s="7" customFormat="1" ht="30" customHeight="1" thickBot="1" x14ac:dyDescent="0.4">
      <c r="A19" s="425" t="s">
        <v>170</v>
      </c>
      <c r="B19" s="338"/>
      <c r="C19" s="255">
        <f>D19+E19</f>
        <v>3357</v>
      </c>
      <c r="D19" s="245">
        <f>D14+D9</f>
        <v>1778</v>
      </c>
      <c r="E19" s="339">
        <f>E18</f>
        <v>1579</v>
      </c>
      <c r="F19" s="412"/>
      <c r="G19" s="413"/>
      <c r="H19" s="39"/>
      <c r="I19" s="40"/>
      <c r="J19" s="50"/>
      <c r="K19" s="50"/>
      <c r="L19" s="50"/>
      <c r="M19" s="50"/>
      <c r="N19" s="50"/>
      <c r="O19" s="50"/>
      <c r="P19" s="50"/>
      <c r="Q19" s="50"/>
    </row>
    <row r="20" spans="1:17" s="7" customFormat="1" ht="39" customHeight="1" thickBot="1" x14ac:dyDescent="0.4">
      <c r="A20" s="425" t="s">
        <v>172</v>
      </c>
      <c r="B20" s="338"/>
      <c r="C20" s="375"/>
      <c r="D20" s="408"/>
      <c r="E20" s="339"/>
      <c r="F20" s="412"/>
      <c r="G20" s="413"/>
      <c r="H20" s="132">
        <v>31</v>
      </c>
      <c r="I20" s="133">
        <v>10</v>
      </c>
      <c r="J20" s="50"/>
      <c r="K20" s="50"/>
      <c r="L20" s="50"/>
      <c r="M20" s="50"/>
      <c r="N20" s="50"/>
      <c r="O20" s="50"/>
      <c r="P20" s="50"/>
      <c r="Q20" s="50"/>
    </row>
    <row r="21" spans="1:17" ht="30" customHeight="1" thickBot="1" x14ac:dyDescent="0.35">
      <c r="A21" s="128" t="s">
        <v>70</v>
      </c>
      <c r="B21" s="98" t="s">
        <v>2</v>
      </c>
      <c r="C21" s="230">
        <f>D21+E21</f>
        <v>362</v>
      </c>
      <c r="D21" s="230">
        <f>SUM(D22:D25)</f>
        <v>98.5</v>
      </c>
      <c r="E21" s="342">
        <f>F24+F25+G23+F22</f>
        <v>263.5</v>
      </c>
      <c r="F21" s="343"/>
      <c r="G21" s="344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30" customHeight="1" thickBot="1" x14ac:dyDescent="0.4">
      <c r="A22" s="6" t="s">
        <v>155</v>
      </c>
      <c r="B22" s="37" t="s">
        <v>119</v>
      </c>
      <c r="C22" s="228">
        <f>SUM(D22:G22)</f>
        <v>99</v>
      </c>
      <c r="D22" s="229" t="s">
        <v>175</v>
      </c>
      <c r="E22" s="195"/>
      <c r="F22" s="250">
        <f>K22*K7+L22*L7+M22*M7+N22*N7+O22*O7+P22*P7</f>
        <v>99</v>
      </c>
      <c r="G22" s="250"/>
      <c r="H22" s="24"/>
      <c r="I22" s="2"/>
      <c r="J22" s="2"/>
      <c r="K22" s="4">
        <v>0.5</v>
      </c>
      <c r="L22" s="4">
        <v>0.5</v>
      </c>
      <c r="M22" s="4">
        <v>0.5</v>
      </c>
      <c r="N22" s="4">
        <v>0.5</v>
      </c>
      <c r="O22" s="4">
        <v>0.5</v>
      </c>
      <c r="P22" s="4">
        <v>0.5</v>
      </c>
      <c r="Q22" s="4"/>
    </row>
    <row r="23" spans="1:17" s="7" customFormat="1" ht="30" customHeight="1" thickBot="1" x14ac:dyDescent="0.4">
      <c r="A23" s="6" t="s">
        <v>156</v>
      </c>
      <c r="B23" s="112" t="s">
        <v>5</v>
      </c>
      <c r="C23" s="228">
        <f t="shared" ref="C23:C25" si="3">SUM(D23:G23)</f>
        <v>66</v>
      </c>
      <c r="D23" s="229" t="s">
        <v>175</v>
      </c>
      <c r="E23" s="193"/>
      <c r="F23" s="193"/>
      <c r="G23" s="193">
        <f>J23*J7+K23*K7+L23*L7+M23*M7+N23*N7+O23*O7+P23*P7+Q23*Q7</f>
        <v>66</v>
      </c>
      <c r="H23" s="2"/>
      <c r="I23" s="2"/>
      <c r="J23" s="4"/>
      <c r="K23" s="4"/>
      <c r="L23" s="4"/>
      <c r="M23" s="4">
        <v>0.5</v>
      </c>
      <c r="N23" s="4">
        <v>0.5</v>
      </c>
      <c r="O23" s="4">
        <v>0.5</v>
      </c>
      <c r="P23" s="4">
        <v>0.5</v>
      </c>
      <c r="Q23" s="4"/>
    </row>
    <row r="24" spans="1:17" s="7" customFormat="1" ht="30" customHeight="1" thickBot="1" x14ac:dyDescent="0.4">
      <c r="A24" s="6" t="s">
        <v>157</v>
      </c>
      <c r="B24" s="37" t="s">
        <v>3</v>
      </c>
      <c r="C24" s="228">
        <f t="shared" si="3"/>
        <v>33</v>
      </c>
      <c r="D24" s="250">
        <f>Q24*O7</f>
        <v>16.5</v>
      </c>
      <c r="E24" s="195"/>
      <c r="F24" s="250">
        <f>Q24*Q7</f>
        <v>16.5</v>
      </c>
      <c r="G24" s="250"/>
      <c r="H24" s="24">
        <v>16</v>
      </c>
      <c r="I24" s="2"/>
      <c r="J24" s="2"/>
      <c r="K24" s="4"/>
      <c r="L24" s="4"/>
      <c r="M24" s="4"/>
      <c r="N24" s="4"/>
      <c r="O24" s="4"/>
      <c r="P24" s="4"/>
      <c r="Q24" s="4">
        <v>0.5</v>
      </c>
    </row>
    <row r="25" spans="1:17" s="7" customFormat="1" ht="30" customHeight="1" thickBot="1" x14ac:dyDescent="0.4">
      <c r="A25" s="6" t="s">
        <v>71</v>
      </c>
      <c r="B25" s="41" t="s">
        <v>19</v>
      </c>
      <c r="C25" s="228">
        <f t="shared" si="3"/>
        <v>164</v>
      </c>
      <c r="D25" s="250">
        <f>J25*J7+K25*K7+L25*L7</f>
        <v>82</v>
      </c>
      <c r="E25" s="250"/>
      <c r="F25" s="250">
        <f>K25*K7+L25*L7+J25*J7</f>
        <v>82</v>
      </c>
      <c r="G25" s="189"/>
      <c r="H25" s="2" t="s">
        <v>129</v>
      </c>
      <c r="I25" s="2"/>
      <c r="J25" s="2">
        <v>0.5</v>
      </c>
      <c r="K25" s="4">
        <v>1</v>
      </c>
      <c r="L25" s="4">
        <v>1</v>
      </c>
      <c r="M25" s="4"/>
      <c r="N25" s="4"/>
      <c r="O25" s="4"/>
      <c r="P25" s="4"/>
      <c r="Q25" s="4"/>
    </row>
    <row r="26" spans="1:17" s="7" customFormat="1" ht="30" customHeight="1" thickBot="1" x14ac:dyDescent="0.4">
      <c r="A26" s="347" t="s">
        <v>149</v>
      </c>
      <c r="B26" s="348"/>
      <c r="C26" s="251"/>
      <c r="D26" s="251"/>
      <c r="E26" s="386">
        <f>E18+E21</f>
        <v>1842.5</v>
      </c>
      <c r="F26" s="387"/>
      <c r="G26" s="388"/>
      <c r="H26" s="71"/>
      <c r="I26" s="303"/>
      <c r="J26" s="139">
        <f>J18+J24+J25+J23+J22</f>
        <v>5.5</v>
      </c>
      <c r="K26" s="139">
        <f t="shared" ref="K26:Q26" si="4">K18+K24+K25+K23+K22</f>
        <v>7</v>
      </c>
      <c r="L26" s="139">
        <f t="shared" si="4"/>
        <v>7</v>
      </c>
      <c r="M26" s="139">
        <f t="shared" si="4"/>
        <v>7</v>
      </c>
      <c r="N26" s="139">
        <f t="shared" si="4"/>
        <v>7</v>
      </c>
      <c r="O26" s="139">
        <f t="shared" si="4"/>
        <v>7</v>
      </c>
      <c r="P26" s="139">
        <f t="shared" si="4"/>
        <v>7</v>
      </c>
      <c r="Q26" s="139">
        <f t="shared" si="4"/>
        <v>8.5</v>
      </c>
    </row>
    <row r="27" spans="1:17" s="7" customFormat="1" ht="30" customHeight="1" thickBot="1" x14ac:dyDescent="0.4">
      <c r="A27" s="394" t="s">
        <v>176</v>
      </c>
      <c r="B27" s="395"/>
      <c r="C27" s="242">
        <f>D27+E27</f>
        <v>3719</v>
      </c>
      <c r="D27" s="242">
        <f>D19+D21</f>
        <v>1876.5</v>
      </c>
      <c r="E27" s="342">
        <f>E26</f>
        <v>1842.5</v>
      </c>
      <c r="F27" s="343"/>
      <c r="G27" s="344"/>
      <c r="H27" s="71"/>
      <c r="I27" s="71"/>
      <c r="J27" s="72"/>
      <c r="K27" s="72"/>
      <c r="L27" s="72"/>
      <c r="M27" s="72"/>
      <c r="N27" s="72"/>
      <c r="O27" s="72"/>
      <c r="P27" s="72"/>
      <c r="Q27" s="72"/>
    </row>
    <row r="28" spans="1:17" s="7" customFormat="1" ht="34.950000000000003" customHeight="1" thickBot="1" x14ac:dyDescent="0.4">
      <c r="A28" s="443" t="s">
        <v>151</v>
      </c>
      <c r="B28" s="443"/>
      <c r="C28" s="441"/>
      <c r="D28" s="442"/>
      <c r="E28" s="444"/>
      <c r="F28" s="444"/>
      <c r="G28" s="444"/>
      <c r="H28" s="148">
        <v>35</v>
      </c>
      <c r="I28" s="149">
        <v>10</v>
      </c>
      <c r="J28" s="150"/>
      <c r="K28" s="150"/>
      <c r="L28" s="150"/>
      <c r="M28" s="150"/>
      <c r="N28" s="150"/>
      <c r="O28" s="150"/>
      <c r="P28" s="150"/>
      <c r="Q28" s="150"/>
    </row>
    <row r="29" spans="1:17" s="7" customFormat="1" ht="29.4" customHeight="1" thickBot="1" x14ac:dyDescent="0.4">
      <c r="A29" s="98" t="s">
        <v>73</v>
      </c>
      <c r="B29" s="129" t="s">
        <v>74</v>
      </c>
      <c r="C29" s="280">
        <f>E29</f>
        <v>196</v>
      </c>
      <c r="D29" s="286"/>
      <c r="E29" s="438">
        <f>E32+F34+G33+F31+G30+F35</f>
        <v>196</v>
      </c>
      <c r="F29" s="439"/>
      <c r="G29" s="440"/>
      <c r="H29" s="147"/>
      <c r="I29" s="147"/>
      <c r="J29" s="330" t="s">
        <v>91</v>
      </c>
      <c r="K29" s="331"/>
      <c r="L29" s="331"/>
      <c r="M29" s="331"/>
      <c r="N29" s="331"/>
      <c r="O29" s="331"/>
      <c r="P29" s="331"/>
      <c r="Q29" s="407"/>
    </row>
    <row r="30" spans="1:17" s="7" customFormat="1" ht="30" customHeight="1" thickBot="1" x14ac:dyDescent="0.4">
      <c r="A30" s="6" t="s">
        <v>75</v>
      </c>
      <c r="B30" s="69" t="s">
        <v>7</v>
      </c>
      <c r="C30" s="124"/>
      <c r="D30" s="124"/>
      <c r="E30" s="193"/>
      <c r="F30" s="193"/>
      <c r="G30" s="193">
        <f>J30+K30+L30+M30+N30+O30+P30+Q30</f>
        <v>78</v>
      </c>
      <c r="H30" s="5"/>
      <c r="I30" s="5"/>
      <c r="J30" s="4">
        <v>6</v>
      </c>
      <c r="K30" s="4">
        <v>8</v>
      </c>
      <c r="L30" s="4">
        <v>8</v>
      </c>
      <c r="M30" s="4">
        <v>10</v>
      </c>
      <c r="N30" s="4">
        <v>10</v>
      </c>
      <c r="O30" s="4">
        <v>10</v>
      </c>
      <c r="P30" s="4">
        <v>12</v>
      </c>
      <c r="Q30" s="4">
        <v>14</v>
      </c>
    </row>
    <row r="31" spans="1:17" s="7" customFormat="1" ht="30" customHeight="1" thickBot="1" x14ac:dyDescent="0.4">
      <c r="A31" s="6" t="s">
        <v>76</v>
      </c>
      <c r="B31" s="69" t="s">
        <v>95</v>
      </c>
      <c r="C31" s="124"/>
      <c r="D31" s="124"/>
      <c r="E31" s="193"/>
      <c r="F31" s="193">
        <f>K31+L31+M31+N31+O31+P31+Q31+R31+J31</f>
        <v>60</v>
      </c>
      <c r="G31" s="193"/>
      <c r="H31" s="5"/>
      <c r="I31" s="5"/>
      <c r="J31" s="4">
        <v>2</v>
      </c>
      <c r="K31" s="4">
        <v>6</v>
      </c>
      <c r="L31" s="4">
        <v>6</v>
      </c>
      <c r="M31" s="4">
        <v>8</v>
      </c>
      <c r="N31" s="4">
        <v>8</v>
      </c>
      <c r="O31" s="4">
        <v>8</v>
      </c>
      <c r="P31" s="4">
        <v>10</v>
      </c>
      <c r="Q31" s="4">
        <v>12</v>
      </c>
    </row>
    <row r="32" spans="1:17" s="7" customFormat="1" ht="30" customHeight="1" thickBot="1" x14ac:dyDescent="0.4">
      <c r="A32" s="6" t="s">
        <v>77</v>
      </c>
      <c r="B32" s="69" t="s">
        <v>96</v>
      </c>
      <c r="C32" s="124"/>
      <c r="D32" s="124"/>
      <c r="E32" s="193">
        <f>J32+K32+L32+M32+N32+O32+P32+Q32</f>
        <v>6</v>
      </c>
      <c r="F32" s="193"/>
      <c r="G32" s="193"/>
      <c r="H32" s="5"/>
      <c r="I32" s="5"/>
      <c r="J32" s="4">
        <v>2</v>
      </c>
      <c r="K32" s="4">
        <v>2</v>
      </c>
      <c r="L32" s="4">
        <v>2</v>
      </c>
      <c r="M32" s="4"/>
      <c r="N32" s="4"/>
      <c r="O32" s="4"/>
      <c r="P32" s="4"/>
      <c r="Q32" s="4"/>
    </row>
    <row r="33" spans="1:17" s="7" customFormat="1" ht="30" customHeight="1" thickBot="1" x14ac:dyDescent="0.4">
      <c r="A33" s="6" t="s">
        <v>78</v>
      </c>
      <c r="B33" s="69" t="s">
        <v>5</v>
      </c>
      <c r="C33" s="124"/>
      <c r="D33" s="124"/>
      <c r="E33" s="193"/>
      <c r="F33" s="193"/>
      <c r="G33" s="193">
        <f>J33+K33+L33+M33+N33+O33+P33+Q33</f>
        <v>20</v>
      </c>
      <c r="H33" s="5"/>
      <c r="I33" s="5"/>
      <c r="J33" s="4"/>
      <c r="K33" s="4"/>
      <c r="L33" s="4"/>
      <c r="M33" s="4">
        <v>4</v>
      </c>
      <c r="N33" s="4">
        <v>4</v>
      </c>
      <c r="O33" s="4">
        <v>4</v>
      </c>
      <c r="P33" s="4">
        <v>4</v>
      </c>
      <c r="Q33" s="4">
        <v>4</v>
      </c>
    </row>
    <row r="34" spans="1:17" s="7" customFormat="1" ht="30" customHeight="1" thickBot="1" x14ac:dyDescent="0.4">
      <c r="A34" s="6" t="s">
        <v>79</v>
      </c>
      <c r="B34" s="70" t="s">
        <v>1</v>
      </c>
      <c r="C34" s="232"/>
      <c r="D34" s="232"/>
      <c r="E34" s="193"/>
      <c r="F34" s="193">
        <f>J34+K34+L34+M34+N34+O34+P34+Q34</f>
        <v>22</v>
      </c>
      <c r="G34" s="193"/>
      <c r="H34" s="5"/>
      <c r="I34" s="5"/>
      <c r="J34" s="4"/>
      <c r="K34" s="4">
        <v>2</v>
      </c>
      <c r="L34" s="4">
        <v>2</v>
      </c>
      <c r="M34" s="4">
        <v>2</v>
      </c>
      <c r="N34" s="4">
        <v>4</v>
      </c>
      <c r="O34" s="4">
        <v>4</v>
      </c>
      <c r="P34" s="4">
        <v>4</v>
      </c>
      <c r="Q34" s="4">
        <v>4</v>
      </c>
    </row>
    <row r="35" spans="1:17" s="7" customFormat="1" ht="30" customHeight="1" thickBot="1" x14ac:dyDescent="0.4">
      <c r="A35" s="6" t="s">
        <v>110</v>
      </c>
      <c r="B35" s="70" t="s">
        <v>98</v>
      </c>
      <c r="C35" s="232"/>
      <c r="D35" s="237"/>
      <c r="E35" s="193"/>
      <c r="F35" s="193">
        <f>J35+K35+L35+M35+N35+O35+P35+Q35</f>
        <v>10</v>
      </c>
      <c r="G35" s="193"/>
      <c r="H35" s="5"/>
      <c r="I35" s="5"/>
      <c r="J35" s="4"/>
      <c r="K35" s="4"/>
      <c r="L35" s="4"/>
      <c r="M35" s="4"/>
      <c r="N35" s="4">
        <v>2</v>
      </c>
      <c r="O35" s="4">
        <v>2</v>
      </c>
      <c r="P35" s="4">
        <v>2</v>
      </c>
      <c r="Q35" s="4">
        <v>4</v>
      </c>
    </row>
    <row r="36" spans="1:17" s="90" customFormat="1" ht="30" customHeight="1" thickBot="1" x14ac:dyDescent="0.4">
      <c r="A36" s="365" t="s">
        <v>148</v>
      </c>
      <c r="B36" s="366"/>
      <c r="C36" s="231"/>
      <c r="D36" s="185"/>
      <c r="E36" s="151"/>
      <c r="F36" s="151"/>
      <c r="G36" s="194"/>
      <c r="H36" s="78"/>
      <c r="I36" s="78"/>
      <c r="J36" s="5">
        <f>SUM(J30:J35)</f>
        <v>10</v>
      </c>
      <c r="K36" s="5">
        <f t="shared" ref="K36:M36" si="5">SUM(K30:K35)</f>
        <v>18</v>
      </c>
      <c r="L36" s="5">
        <f t="shared" si="5"/>
        <v>18</v>
      </c>
      <c r="M36" s="5">
        <f t="shared" si="5"/>
        <v>24</v>
      </c>
      <c r="N36" s="5">
        <f>SUM(N30:N35)</f>
        <v>28</v>
      </c>
      <c r="O36" s="5">
        <f>SUM(O30:O35)</f>
        <v>28</v>
      </c>
      <c r="P36" s="5">
        <f>SUM(P30:P35)</f>
        <v>32</v>
      </c>
      <c r="Q36" s="5">
        <f>SUM(Q30:Q35)</f>
        <v>38</v>
      </c>
    </row>
    <row r="37" spans="1:17" s="7" customFormat="1" ht="30" customHeight="1" thickBot="1" x14ac:dyDescent="0.4">
      <c r="A37" s="81"/>
      <c r="B37" s="82"/>
      <c r="C37" s="17"/>
      <c r="D37" s="17"/>
      <c r="E37" s="83"/>
      <c r="F37" s="84"/>
      <c r="G37" s="85"/>
      <c r="H37" s="17"/>
      <c r="I37" s="17"/>
      <c r="J37" s="19"/>
      <c r="K37" s="19"/>
      <c r="L37" s="19"/>
      <c r="M37" s="19"/>
      <c r="N37" s="19"/>
      <c r="O37" s="19"/>
      <c r="P37" s="19"/>
      <c r="Q37" s="86"/>
    </row>
    <row r="38" spans="1:17" s="7" customFormat="1" ht="30" customHeight="1" x14ac:dyDescent="0.35">
      <c r="A38" s="117" t="s">
        <v>80</v>
      </c>
      <c r="B38" s="77" t="s">
        <v>83</v>
      </c>
      <c r="C38" s="186"/>
      <c r="D38" s="186"/>
      <c r="E38" s="332" t="s">
        <v>94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4"/>
    </row>
    <row r="39" spans="1:17" s="7" customFormat="1" ht="30" customHeight="1" x14ac:dyDescent="0.35">
      <c r="A39" s="122" t="s">
        <v>81</v>
      </c>
      <c r="B39" s="75" t="s">
        <v>82</v>
      </c>
      <c r="C39" s="275">
        <f>J39+K39+L39+M39+N39+O39+P39</f>
        <v>7</v>
      </c>
      <c r="D39" s="75"/>
      <c r="E39" s="95"/>
      <c r="F39" s="53"/>
      <c r="G39" s="75"/>
      <c r="H39" s="53"/>
      <c r="I39" s="53"/>
      <c r="J39" s="95">
        <v>1</v>
      </c>
      <c r="K39" s="95">
        <v>1</v>
      </c>
      <c r="L39" s="95">
        <v>1</v>
      </c>
      <c r="M39" s="95">
        <v>1</v>
      </c>
      <c r="N39" s="95">
        <v>1</v>
      </c>
      <c r="O39" s="95">
        <v>1</v>
      </c>
      <c r="P39" s="95">
        <v>1</v>
      </c>
      <c r="Q39" s="96"/>
    </row>
    <row r="40" spans="1:17" s="7" customFormat="1" ht="30" customHeight="1" x14ac:dyDescent="0.35">
      <c r="A40" s="122" t="s">
        <v>84</v>
      </c>
      <c r="B40" s="75" t="s">
        <v>85</v>
      </c>
      <c r="C40" s="75">
        <f>C41+C42+C43</f>
        <v>2</v>
      </c>
      <c r="D40" s="75"/>
      <c r="E40" s="53"/>
      <c r="F40" s="53"/>
      <c r="G40" s="75"/>
      <c r="H40" s="53"/>
      <c r="I40" s="53"/>
      <c r="J40" s="95"/>
      <c r="K40" s="95"/>
      <c r="L40" s="95"/>
      <c r="M40" s="95"/>
      <c r="N40" s="95"/>
      <c r="O40" s="95"/>
      <c r="P40" s="95"/>
      <c r="Q40" s="96">
        <v>2</v>
      </c>
    </row>
    <row r="41" spans="1:17" s="7" customFormat="1" ht="30" customHeight="1" x14ac:dyDescent="0.35">
      <c r="A41" s="122" t="s">
        <v>86</v>
      </c>
      <c r="B41" s="75" t="s">
        <v>89</v>
      </c>
      <c r="C41" s="75">
        <v>1</v>
      </c>
      <c r="D41" s="75"/>
      <c r="E41" s="53"/>
      <c r="F41" s="53"/>
      <c r="G41" s="75"/>
      <c r="H41" s="53"/>
      <c r="I41" s="53"/>
      <c r="J41" s="61"/>
      <c r="K41" s="61"/>
      <c r="L41" s="61"/>
      <c r="M41" s="61"/>
      <c r="N41" s="61"/>
      <c r="O41" s="61"/>
      <c r="P41" s="61"/>
      <c r="Q41" s="62"/>
    </row>
    <row r="42" spans="1:17" s="7" customFormat="1" ht="30" customHeight="1" x14ac:dyDescent="0.35">
      <c r="A42" s="122" t="s">
        <v>87</v>
      </c>
      <c r="B42" s="75" t="s">
        <v>1</v>
      </c>
      <c r="C42" s="75">
        <v>0.5</v>
      </c>
      <c r="D42" s="75"/>
      <c r="E42" s="53"/>
      <c r="F42" s="53"/>
      <c r="G42" s="75"/>
      <c r="H42" s="53"/>
      <c r="I42" s="53"/>
      <c r="J42" s="61"/>
      <c r="K42" s="61"/>
      <c r="L42" s="61"/>
      <c r="M42" s="61"/>
      <c r="N42" s="61"/>
      <c r="O42" s="61"/>
      <c r="P42" s="61"/>
      <c r="Q42" s="62"/>
    </row>
    <row r="43" spans="1:17" s="7" customFormat="1" ht="36" customHeight="1" thickBot="1" x14ac:dyDescent="0.4">
      <c r="A43" s="123" t="s">
        <v>88</v>
      </c>
      <c r="B43" s="100" t="s">
        <v>41</v>
      </c>
      <c r="C43" s="100">
        <v>0.5</v>
      </c>
      <c r="D43" s="100"/>
      <c r="E43" s="101"/>
      <c r="F43" s="101"/>
      <c r="G43" s="100"/>
      <c r="H43" s="101"/>
      <c r="I43" s="101"/>
      <c r="J43" s="91"/>
      <c r="K43" s="91"/>
      <c r="L43" s="91"/>
      <c r="M43" s="91"/>
      <c r="N43" s="91"/>
      <c r="O43" s="91"/>
      <c r="P43" s="91"/>
      <c r="Q43" s="102"/>
    </row>
    <row r="44" spans="1:17" s="7" customFormat="1" ht="30" customHeight="1" thickBot="1" x14ac:dyDescent="0.4">
      <c r="A44" s="335" t="s">
        <v>93</v>
      </c>
      <c r="B44" s="336"/>
      <c r="C44" s="276">
        <v>8</v>
      </c>
      <c r="D44" s="244"/>
      <c r="E44" s="103"/>
      <c r="F44" s="104"/>
      <c r="G44" s="105"/>
      <c r="H44" s="104"/>
      <c r="I44" s="104"/>
      <c r="J44" s="106"/>
      <c r="K44" s="106"/>
      <c r="L44" s="106"/>
      <c r="M44" s="106"/>
      <c r="N44" s="106"/>
      <c r="O44" s="106"/>
      <c r="P44" s="106"/>
      <c r="Q44" s="107"/>
    </row>
    <row r="45" spans="1:17" ht="40.200000000000003" customHeight="1" x14ac:dyDescent="0.3">
      <c r="A45" s="20"/>
      <c r="B45" s="21"/>
      <c r="C45" s="21"/>
      <c r="D45" s="21"/>
      <c r="E45" s="17"/>
      <c r="F45" s="18"/>
      <c r="G45" s="19"/>
      <c r="H45" s="17"/>
      <c r="I45" s="18"/>
      <c r="J45" s="19"/>
      <c r="K45" s="19"/>
      <c r="L45" s="19"/>
      <c r="M45" s="19"/>
      <c r="N45" s="19"/>
      <c r="O45" s="19"/>
      <c r="P45" s="17"/>
      <c r="Q45" s="17"/>
    </row>
    <row r="46" spans="1:17" ht="18" x14ac:dyDescent="0.3">
      <c r="A46" s="370"/>
      <c r="B46" s="370"/>
      <c r="C46" s="247"/>
      <c r="D46" s="247"/>
      <c r="E46" s="17"/>
      <c r="F46" s="18"/>
      <c r="G46" s="21"/>
      <c r="H46" s="17"/>
      <c r="I46" s="18"/>
      <c r="J46" s="21"/>
      <c r="K46" s="17"/>
      <c r="L46" s="17"/>
      <c r="M46" s="17"/>
      <c r="N46" s="17"/>
      <c r="O46" s="17"/>
      <c r="P46" s="17"/>
      <c r="Q46" s="17"/>
    </row>
    <row r="47" spans="1:17" ht="40.200000000000003" customHeight="1" x14ac:dyDescent="0.3">
      <c r="A47" s="20"/>
      <c r="B47" s="21"/>
      <c r="C47" s="21"/>
      <c r="D47" s="21"/>
      <c r="E47" s="17"/>
      <c r="F47" s="18"/>
      <c r="G47" s="19"/>
      <c r="H47" s="17"/>
      <c r="I47" s="18"/>
      <c r="J47" s="19"/>
      <c r="K47" s="19"/>
      <c r="L47" s="19"/>
      <c r="M47" s="19"/>
      <c r="N47" s="19"/>
      <c r="O47" s="19"/>
      <c r="P47" s="17"/>
      <c r="Q47" s="17"/>
    </row>
    <row r="48" spans="1:17" ht="40.200000000000003" customHeight="1" x14ac:dyDescent="0.3">
      <c r="A48" s="17"/>
      <c r="B48" s="22"/>
      <c r="C48" s="22"/>
      <c r="D48" s="22"/>
      <c r="E48" s="23"/>
      <c r="F48" s="18"/>
      <c r="G48" s="23"/>
      <c r="H48" s="23"/>
      <c r="I48" s="18"/>
      <c r="J48" s="23"/>
      <c r="K48" s="23"/>
      <c r="L48" s="23"/>
      <c r="M48" s="23"/>
      <c r="N48" s="23"/>
      <c r="O48" s="23"/>
      <c r="P48" s="23"/>
      <c r="Q48" s="23"/>
    </row>
  </sheetData>
  <mergeCells count="40">
    <mergeCell ref="E38:Q38"/>
    <mergeCell ref="A44:B44"/>
    <mergeCell ref="A46:B46"/>
    <mergeCell ref="E21:G21"/>
    <mergeCell ref="A26:B26"/>
    <mergeCell ref="E26:G26"/>
    <mergeCell ref="E29:G29"/>
    <mergeCell ref="J29:Q29"/>
    <mergeCell ref="A36:B36"/>
    <mergeCell ref="C28:D28"/>
    <mergeCell ref="A28:B28"/>
    <mergeCell ref="E28:G28"/>
    <mergeCell ref="A2:Q2"/>
    <mergeCell ref="A3:A4"/>
    <mergeCell ref="B3:B4"/>
    <mergeCell ref="E3:G3"/>
    <mergeCell ref="H3:I3"/>
    <mergeCell ref="J3:Q3"/>
    <mergeCell ref="J6:Q6"/>
    <mergeCell ref="A6:A7"/>
    <mergeCell ref="B6:B7"/>
    <mergeCell ref="E6:G7"/>
    <mergeCell ref="H6:H7"/>
    <mergeCell ref="I6:I7"/>
    <mergeCell ref="C6:C7"/>
    <mergeCell ref="D6:D7"/>
    <mergeCell ref="E8:G8"/>
    <mergeCell ref="J8:Q8"/>
    <mergeCell ref="E9:G9"/>
    <mergeCell ref="E14:G14"/>
    <mergeCell ref="A18:B18"/>
    <mergeCell ref="E18:G18"/>
    <mergeCell ref="C18:D18"/>
    <mergeCell ref="A19:B19"/>
    <mergeCell ref="E19:G19"/>
    <mergeCell ref="A27:B27"/>
    <mergeCell ref="A20:B20"/>
    <mergeCell ref="E20:G20"/>
    <mergeCell ref="E27:G27"/>
    <mergeCell ref="C20:D20"/>
  </mergeCells>
  <phoneticPr fontId="30" type="noConversion"/>
  <pageMargins left="0.31496062992125984" right="0.31496062992125984" top="0.35433070866141736" bottom="0.35433070866141736" header="0.11811023622047245" footer="0.11811023622047245"/>
  <pageSetup paperSize="9" scale="58" orientation="landscape" r:id="rId1"/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7"/>
  <sheetViews>
    <sheetView view="pageBreakPreview" topLeftCell="B19" zoomScale="86" zoomScaleNormal="100" zoomScaleSheetLayoutView="86" workbookViewId="0">
      <selection activeCell="Q21" sqref="Q20:Q21"/>
    </sheetView>
  </sheetViews>
  <sheetFormatPr defaultRowHeight="14.4" x14ac:dyDescent="0.3"/>
  <cols>
    <col min="1" max="1" width="19.5546875" customWidth="1"/>
    <col min="2" max="2" width="60.5546875" customWidth="1"/>
    <col min="3" max="3" width="11.88671875" customWidth="1"/>
    <col min="4" max="4" width="10.6640625" customWidth="1"/>
    <col min="5" max="5" width="7" customWidth="1"/>
    <col min="6" max="6" width="7.5546875" customWidth="1"/>
    <col min="7" max="7" width="8.33203125" customWidth="1"/>
    <col min="8" max="8" width="16.33203125" customWidth="1"/>
    <col min="9" max="9" width="13.44140625" customWidth="1"/>
    <col min="10" max="14" width="7" customWidth="1"/>
  </cols>
  <sheetData>
    <row r="1" spans="1:14" s="29" customFormat="1" ht="27" customHeight="1" x14ac:dyDescent="0.45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7.6" customHeight="1" thickBot="1" x14ac:dyDescent="0.35">
      <c r="A2" s="369" t="s">
        <v>140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ht="55.95" customHeight="1" thickBot="1" x14ac:dyDescent="0.35">
      <c r="A3" s="371" t="s">
        <v>46</v>
      </c>
      <c r="B3" s="373" t="s">
        <v>42</v>
      </c>
      <c r="C3" s="187" t="s">
        <v>158</v>
      </c>
      <c r="D3" s="187" t="s">
        <v>159</v>
      </c>
      <c r="E3" s="377" t="s">
        <v>69</v>
      </c>
      <c r="F3" s="379"/>
      <c r="G3" s="378"/>
      <c r="H3" s="377" t="s">
        <v>50</v>
      </c>
      <c r="I3" s="378"/>
      <c r="J3" s="375" t="s">
        <v>53</v>
      </c>
      <c r="K3" s="376"/>
      <c r="L3" s="376"/>
      <c r="M3" s="376"/>
      <c r="N3" s="376"/>
    </row>
    <row r="4" spans="1:14" ht="73.2" customHeight="1" thickBot="1" x14ac:dyDescent="0.35">
      <c r="A4" s="372"/>
      <c r="B4" s="374"/>
      <c r="C4" s="241" t="s">
        <v>160</v>
      </c>
      <c r="D4" s="241" t="s">
        <v>160</v>
      </c>
      <c r="E4" s="42" t="s">
        <v>118</v>
      </c>
      <c r="F4" s="43" t="s">
        <v>48</v>
      </c>
      <c r="G4" s="42" t="s">
        <v>49</v>
      </c>
      <c r="H4" s="16" t="s">
        <v>21</v>
      </c>
      <c r="I4" s="3" t="s">
        <v>20</v>
      </c>
      <c r="J4" s="42" t="s">
        <v>54</v>
      </c>
      <c r="K4" s="42" t="s">
        <v>55</v>
      </c>
      <c r="L4" s="42" t="s">
        <v>56</v>
      </c>
      <c r="M4" s="42" t="s">
        <v>57</v>
      </c>
      <c r="N4" s="42" t="s">
        <v>58</v>
      </c>
    </row>
    <row r="5" spans="1:14" s="49" customFormat="1" ht="16.95" customHeight="1" thickBot="1" x14ac:dyDescent="0.3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6">
        <v>6</v>
      </c>
      <c r="G5" s="47">
        <v>7</v>
      </c>
      <c r="H5" s="47">
        <v>8</v>
      </c>
      <c r="I5" s="46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</row>
    <row r="6" spans="1:14" ht="19.2" customHeight="1" thickBot="1" x14ac:dyDescent="0.35">
      <c r="A6" s="384"/>
      <c r="B6" s="414" t="s">
        <v>43</v>
      </c>
      <c r="C6" s="445" t="s">
        <v>196</v>
      </c>
      <c r="D6" s="445" t="s">
        <v>182</v>
      </c>
      <c r="E6" s="386" t="s">
        <v>192</v>
      </c>
      <c r="F6" s="387"/>
      <c r="G6" s="388"/>
      <c r="H6" s="384"/>
      <c r="I6" s="384"/>
      <c r="J6" s="380" t="s">
        <v>52</v>
      </c>
      <c r="K6" s="381"/>
      <c r="L6" s="381"/>
      <c r="M6" s="381"/>
      <c r="N6" s="381"/>
    </row>
    <row r="7" spans="1:14" ht="19.2" customHeight="1" thickBot="1" x14ac:dyDescent="0.35">
      <c r="A7" s="385"/>
      <c r="B7" s="415"/>
      <c r="C7" s="446"/>
      <c r="D7" s="446"/>
      <c r="E7" s="389"/>
      <c r="F7" s="390"/>
      <c r="G7" s="391"/>
      <c r="H7" s="419"/>
      <c r="I7" s="419"/>
      <c r="J7" s="44">
        <v>33</v>
      </c>
      <c r="K7" s="44">
        <v>33</v>
      </c>
      <c r="L7" s="44">
        <v>33</v>
      </c>
      <c r="M7" s="44">
        <v>33</v>
      </c>
      <c r="N7" s="44">
        <v>33</v>
      </c>
    </row>
    <row r="8" spans="1:14" ht="30" customHeight="1" thickBot="1" x14ac:dyDescent="0.35">
      <c r="A8" s="3"/>
      <c r="B8" s="119" t="s">
        <v>44</v>
      </c>
      <c r="C8" s="274">
        <f>C9+C14+C28</f>
        <v>2491</v>
      </c>
      <c r="D8" s="264">
        <f>D9+D14</f>
        <v>1303.5</v>
      </c>
      <c r="E8" s="342">
        <f>E17+E28</f>
        <v>1187.5</v>
      </c>
      <c r="F8" s="345"/>
      <c r="G8" s="346"/>
      <c r="H8" s="16"/>
      <c r="I8" s="3"/>
      <c r="J8" s="330" t="s">
        <v>51</v>
      </c>
      <c r="K8" s="331"/>
      <c r="L8" s="331"/>
      <c r="M8" s="331"/>
      <c r="N8" s="331"/>
    </row>
    <row r="9" spans="1:14" ht="30" customHeight="1" thickBot="1" x14ac:dyDescent="0.35">
      <c r="A9" s="113" t="s">
        <v>45</v>
      </c>
      <c r="B9" s="113" t="s">
        <v>12</v>
      </c>
      <c r="C9" s="260">
        <f>SUM(C10:C13)</f>
        <v>1584</v>
      </c>
      <c r="D9" s="259">
        <f>D10+D11+D12+D13</f>
        <v>973.5</v>
      </c>
      <c r="E9" s="342">
        <f>E13+F11+G10+G12</f>
        <v>610.5</v>
      </c>
      <c r="F9" s="345"/>
      <c r="G9" s="346"/>
      <c r="H9" s="1"/>
      <c r="I9" s="1"/>
      <c r="J9" s="1"/>
      <c r="K9" s="1"/>
      <c r="L9" s="1"/>
      <c r="M9" s="1"/>
      <c r="N9" s="1"/>
    </row>
    <row r="10" spans="1:14" s="7" customFormat="1" ht="30" customHeight="1" thickBot="1" x14ac:dyDescent="0.4">
      <c r="A10" s="6" t="s">
        <v>61</v>
      </c>
      <c r="B10" s="112" t="s">
        <v>7</v>
      </c>
      <c r="C10" s="265">
        <f>D10+E10+F10+G10</f>
        <v>924</v>
      </c>
      <c r="D10" s="262">
        <f>3*J7+3*K7+3*L7+4*M7+4*N7</f>
        <v>561</v>
      </c>
      <c r="E10" s="58"/>
      <c r="F10" s="51"/>
      <c r="G10" s="59">
        <f>J10*J7+K10*K7+L10*L7+M10*M7+N10*N7</f>
        <v>363</v>
      </c>
      <c r="H10" s="134" t="s">
        <v>132</v>
      </c>
      <c r="I10" s="134" t="s">
        <v>133</v>
      </c>
      <c r="J10" s="26">
        <v>2</v>
      </c>
      <c r="K10" s="26">
        <v>2</v>
      </c>
      <c r="L10" s="26">
        <v>2</v>
      </c>
      <c r="M10" s="26">
        <v>2</v>
      </c>
      <c r="N10" s="26">
        <v>3</v>
      </c>
    </row>
    <row r="11" spans="1:14" s="7" customFormat="1" ht="30" customHeight="1" thickBot="1" x14ac:dyDescent="0.4">
      <c r="A11" s="6" t="s">
        <v>62</v>
      </c>
      <c r="B11" s="112" t="s">
        <v>19</v>
      </c>
      <c r="C11" s="265">
        <f t="shared" ref="C11:C13" si="0">D11+E11+F11+G11</f>
        <v>264</v>
      </c>
      <c r="D11" s="262">
        <f>1*K7+1*L7+1*M7+1*N7</f>
        <v>132</v>
      </c>
      <c r="E11" s="60"/>
      <c r="F11" s="61">
        <f>M11*M7+N11*N7+K11*K7+L11*L7</f>
        <v>132</v>
      </c>
      <c r="G11" s="62"/>
      <c r="H11" s="134" t="s">
        <v>134</v>
      </c>
      <c r="I11" s="40">
        <v>10</v>
      </c>
      <c r="J11" s="26"/>
      <c r="K11" s="26">
        <v>1</v>
      </c>
      <c r="L11" s="26">
        <v>1</v>
      </c>
      <c r="M11" s="26">
        <v>1</v>
      </c>
      <c r="N11" s="26">
        <v>1</v>
      </c>
    </row>
    <row r="12" spans="1:14" s="7" customFormat="1" ht="30" customHeight="1" thickBot="1" x14ac:dyDescent="0.4">
      <c r="A12" s="6" t="s">
        <v>63</v>
      </c>
      <c r="B12" s="112" t="s">
        <v>5</v>
      </c>
      <c r="C12" s="193">
        <f t="shared" si="0"/>
        <v>346.5</v>
      </c>
      <c r="D12" s="262">
        <f>2*K7+2*L7+2*M7+2*N7</f>
        <v>264</v>
      </c>
      <c r="E12" s="60"/>
      <c r="F12" s="61"/>
      <c r="G12" s="62">
        <f>N12*N7+M12*M7+L12*L7+K12*K7</f>
        <v>82.5</v>
      </c>
      <c r="H12" s="134" t="s">
        <v>135</v>
      </c>
      <c r="I12" s="134"/>
      <c r="J12" s="26"/>
      <c r="K12" s="26">
        <v>0.5</v>
      </c>
      <c r="L12" s="26">
        <v>0.5</v>
      </c>
      <c r="M12" s="26">
        <v>0.5</v>
      </c>
      <c r="N12" s="26">
        <v>1</v>
      </c>
    </row>
    <row r="13" spans="1:14" s="7" customFormat="1" ht="30" customHeight="1" thickBot="1" x14ac:dyDescent="0.4">
      <c r="A13" s="6" t="s">
        <v>64</v>
      </c>
      <c r="B13" s="118" t="s">
        <v>15</v>
      </c>
      <c r="C13" s="193">
        <f t="shared" si="0"/>
        <v>49.5</v>
      </c>
      <c r="D13" s="262">
        <f>0.5*J7</f>
        <v>16.5</v>
      </c>
      <c r="E13" s="63">
        <f>J13*J7+K13*K7+L13*L7+M13*M7+N13*N7</f>
        <v>33</v>
      </c>
      <c r="F13" s="64"/>
      <c r="G13" s="65"/>
      <c r="H13" s="134">
        <v>2</v>
      </c>
      <c r="I13" s="134"/>
      <c r="J13" s="26">
        <v>1</v>
      </c>
      <c r="K13" s="26"/>
      <c r="L13" s="26"/>
      <c r="M13" s="26"/>
      <c r="N13" s="26"/>
    </row>
    <row r="14" spans="1:14" ht="30" customHeight="1" thickBot="1" x14ac:dyDescent="0.35">
      <c r="A14" s="113" t="s">
        <v>65</v>
      </c>
      <c r="B14" s="113" t="s">
        <v>0</v>
      </c>
      <c r="C14" s="257">
        <f>C15+C16</f>
        <v>759</v>
      </c>
      <c r="D14" s="259">
        <f>D15+D16</f>
        <v>330</v>
      </c>
      <c r="E14" s="342">
        <f>F15+F16</f>
        <v>429</v>
      </c>
      <c r="F14" s="345"/>
      <c r="G14" s="346"/>
      <c r="H14" s="1"/>
      <c r="I14" s="1"/>
      <c r="J14" s="1"/>
      <c r="K14" s="1"/>
      <c r="L14" s="1"/>
      <c r="M14" s="1"/>
      <c r="N14" s="1"/>
    </row>
    <row r="15" spans="1:14" s="7" customFormat="1" ht="30" customHeight="1" thickBot="1" x14ac:dyDescent="0.4">
      <c r="A15" s="6" t="s">
        <v>66</v>
      </c>
      <c r="B15" s="112" t="s">
        <v>1</v>
      </c>
      <c r="C15" s="193">
        <f>D15+E15+F15+G15</f>
        <v>412.5</v>
      </c>
      <c r="D15" s="262">
        <f>1*J7+1*K7+1*L7+1*M7+1*N7</f>
        <v>165</v>
      </c>
      <c r="E15" s="58"/>
      <c r="F15" s="51">
        <f>J15*J7+K15*K7+L15*L7+M15*M7+N15*N7</f>
        <v>247.5</v>
      </c>
      <c r="G15" s="59"/>
      <c r="H15" s="39" t="s">
        <v>136</v>
      </c>
      <c r="I15" s="40">
        <v>6</v>
      </c>
      <c r="J15" s="26">
        <v>1.5</v>
      </c>
      <c r="K15" s="26">
        <v>1.5</v>
      </c>
      <c r="L15" s="26">
        <v>1.5</v>
      </c>
      <c r="M15" s="26">
        <v>1.5</v>
      </c>
      <c r="N15" s="26">
        <v>1.5</v>
      </c>
    </row>
    <row r="16" spans="1:14" s="7" customFormat="1" ht="39.6" customHeight="1" thickBot="1" x14ac:dyDescent="0.4">
      <c r="A16" s="6" t="s">
        <v>67</v>
      </c>
      <c r="B16" s="41" t="s">
        <v>41</v>
      </c>
      <c r="C16" s="193">
        <f>D16+E16+F16+G16</f>
        <v>346.5</v>
      </c>
      <c r="D16" s="262">
        <f>1*J7+1*K7+1*L7+1*M7+1*N7</f>
        <v>165</v>
      </c>
      <c r="E16" s="63"/>
      <c r="F16" s="64">
        <f>M16*M7+N16*N7+L16*L7+K16*K7+J16*J7</f>
        <v>181.5</v>
      </c>
      <c r="G16" s="65"/>
      <c r="H16" s="39">
        <v>7.9</v>
      </c>
      <c r="I16" s="40">
        <v>8</v>
      </c>
      <c r="J16" s="26">
        <v>1</v>
      </c>
      <c r="K16" s="26">
        <v>1</v>
      </c>
      <c r="L16" s="26">
        <v>1</v>
      </c>
      <c r="M16" s="26">
        <v>1</v>
      </c>
      <c r="N16" s="26">
        <v>1.5</v>
      </c>
    </row>
    <row r="17" spans="1:17" s="7" customFormat="1" ht="30" customHeight="1" thickBot="1" x14ac:dyDescent="0.4">
      <c r="A17" s="426" t="s">
        <v>171</v>
      </c>
      <c r="B17" s="427"/>
      <c r="C17" s="335"/>
      <c r="D17" s="341"/>
      <c r="E17" s="339">
        <f>E14+E9</f>
        <v>1039.5</v>
      </c>
      <c r="F17" s="412"/>
      <c r="G17" s="413"/>
      <c r="H17" s="39"/>
      <c r="I17" s="40"/>
      <c r="J17" s="50">
        <f>SUM(J10:J16)</f>
        <v>5.5</v>
      </c>
      <c r="K17" s="50">
        <f>SUM(K10:K16)</f>
        <v>6</v>
      </c>
      <c r="L17" s="50">
        <f>SUM(L10:L16)</f>
        <v>6</v>
      </c>
      <c r="M17" s="50">
        <f>SUM(M10:M16)</f>
        <v>6</v>
      </c>
      <c r="N17" s="50">
        <f>SUM(N10:N16)</f>
        <v>8</v>
      </c>
    </row>
    <row r="18" spans="1:17" s="7" customFormat="1" ht="30" customHeight="1" thickBot="1" x14ac:dyDescent="0.4">
      <c r="A18" s="456" t="s">
        <v>170</v>
      </c>
      <c r="B18" s="456"/>
      <c r="C18" s="268">
        <f>C9+C14</f>
        <v>2343</v>
      </c>
      <c r="D18" s="267">
        <f>D9+D14</f>
        <v>1303.5</v>
      </c>
      <c r="E18" s="412">
        <f>E17</f>
        <v>1039.5</v>
      </c>
      <c r="F18" s="412"/>
      <c r="G18" s="412"/>
      <c r="H18" s="266"/>
      <c r="I18" s="40"/>
      <c r="J18" s="50"/>
      <c r="K18" s="50"/>
      <c r="L18" s="50"/>
      <c r="M18" s="50"/>
      <c r="N18" s="50"/>
    </row>
    <row r="19" spans="1:17" ht="40.5" customHeight="1" thickBot="1" x14ac:dyDescent="0.35">
      <c r="A19" s="451" t="s">
        <v>172</v>
      </c>
      <c r="B19" s="452"/>
      <c r="C19" s="457"/>
      <c r="D19" s="458"/>
      <c r="E19" s="447"/>
      <c r="F19" s="448"/>
      <c r="G19" s="449"/>
      <c r="H19" s="140">
        <v>18</v>
      </c>
      <c r="I19" s="141">
        <v>6</v>
      </c>
      <c r="J19" s="142"/>
      <c r="K19" s="142"/>
      <c r="L19" s="142"/>
      <c r="M19" s="142"/>
      <c r="N19" s="142"/>
    </row>
    <row r="20" spans="1:17" s="7" customFormat="1" ht="30" customHeight="1" thickBot="1" x14ac:dyDescent="0.4">
      <c r="A20" s="154" t="s">
        <v>70</v>
      </c>
      <c r="B20" s="155" t="s">
        <v>2</v>
      </c>
      <c r="C20" s="261">
        <f>D20+E20</f>
        <v>198</v>
      </c>
      <c r="D20" s="270">
        <f>D23+D24</f>
        <v>49.5</v>
      </c>
      <c r="E20" s="453">
        <f>F23+F24+G22+F21</f>
        <v>148.5</v>
      </c>
      <c r="F20" s="454"/>
      <c r="G20" s="455"/>
      <c r="H20" s="156"/>
      <c r="I20" s="156"/>
      <c r="J20" s="156"/>
      <c r="K20" s="156"/>
      <c r="L20" s="156"/>
      <c r="M20" s="156"/>
      <c r="N20" s="158"/>
      <c r="O20" s="157"/>
      <c r="P20" s="157"/>
      <c r="Q20" s="157"/>
    </row>
    <row r="21" spans="1:17" s="7" customFormat="1" ht="30" customHeight="1" thickBot="1" x14ac:dyDescent="0.4">
      <c r="A21" s="6" t="s">
        <v>155</v>
      </c>
      <c r="B21" s="37" t="s">
        <v>119</v>
      </c>
      <c r="C21" s="262">
        <f>F21</f>
        <v>66</v>
      </c>
      <c r="D21" s="229" t="s">
        <v>175</v>
      </c>
      <c r="E21" s="52"/>
      <c r="F21" s="53">
        <f>J21*J7+K21*K7+L21*L7+M21*M7</f>
        <v>66</v>
      </c>
      <c r="G21" s="54"/>
      <c r="H21" s="24"/>
      <c r="I21" s="2"/>
      <c r="J21" s="2">
        <v>0.5</v>
      </c>
      <c r="K21" s="4">
        <v>0.5</v>
      </c>
      <c r="L21" s="4">
        <v>0.5</v>
      </c>
      <c r="M21" s="4">
        <v>0.5</v>
      </c>
      <c r="N21" s="4"/>
    </row>
    <row r="22" spans="1:17" s="7" customFormat="1" ht="30" customHeight="1" thickBot="1" x14ac:dyDescent="0.4">
      <c r="A22" s="6" t="s">
        <v>156</v>
      </c>
      <c r="B22" s="112" t="s">
        <v>5</v>
      </c>
      <c r="C22" s="193">
        <f>G22</f>
        <v>49.5</v>
      </c>
      <c r="D22" s="229" t="s">
        <v>175</v>
      </c>
      <c r="E22" s="110"/>
      <c r="F22" s="109"/>
      <c r="G22" s="111">
        <f>L22*L7+M22*M7+K22*K7</f>
        <v>49.5</v>
      </c>
      <c r="H22" s="2"/>
      <c r="I22" s="2"/>
      <c r="J22" s="4"/>
      <c r="K22" s="4">
        <v>0.5</v>
      </c>
      <c r="L22" s="4">
        <v>0.5</v>
      </c>
      <c r="M22" s="4">
        <v>0.5</v>
      </c>
      <c r="N22" s="4"/>
    </row>
    <row r="23" spans="1:17" s="7" customFormat="1" ht="30" customHeight="1" thickBot="1" x14ac:dyDescent="0.4">
      <c r="A23" s="6" t="s">
        <v>157</v>
      </c>
      <c r="B23" s="37" t="s">
        <v>3</v>
      </c>
      <c r="C23" s="265">
        <f>D23+F23</f>
        <v>49.5</v>
      </c>
      <c r="D23" s="265">
        <f>1*N7</f>
        <v>33</v>
      </c>
      <c r="E23" s="52"/>
      <c r="F23" s="53">
        <f>N23*N7</f>
        <v>16.5</v>
      </c>
      <c r="G23" s="54"/>
      <c r="H23" s="24">
        <v>10</v>
      </c>
      <c r="I23" s="2"/>
      <c r="J23" s="2"/>
      <c r="K23" s="4"/>
      <c r="L23" s="4"/>
      <c r="M23" s="4"/>
      <c r="N23" s="4">
        <v>0.5</v>
      </c>
    </row>
    <row r="24" spans="1:17" s="7" customFormat="1" ht="30" customHeight="1" thickBot="1" x14ac:dyDescent="0.4">
      <c r="A24" s="6" t="s">
        <v>71</v>
      </c>
      <c r="B24" s="41" t="s">
        <v>19</v>
      </c>
      <c r="C24" s="262">
        <f>D24+F24</f>
        <v>33</v>
      </c>
      <c r="D24" s="269">
        <f>J24*J7</f>
        <v>16.5</v>
      </c>
      <c r="E24" s="55"/>
      <c r="F24" s="56">
        <f>J24*J7</f>
        <v>16.5</v>
      </c>
      <c r="G24" s="57"/>
      <c r="H24" s="2">
        <v>2</v>
      </c>
      <c r="I24" s="2"/>
      <c r="J24" s="2">
        <v>0.5</v>
      </c>
      <c r="K24" s="4"/>
      <c r="L24" s="4"/>
      <c r="M24" s="4"/>
      <c r="N24" s="4"/>
    </row>
    <row r="25" spans="1:17" s="7" customFormat="1" ht="38.25" customHeight="1" thickBot="1" x14ac:dyDescent="0.4">
      <c r="A25" s="347" t="s">
        <v>72</v>
      </c>
      <c r="B25" s="348"/>
      <c r="C25" s="208"/>
      <c r="D25" s="208"/>
      <c r="E25" s="386">
        <f>E17+E20</f>
        <v>1188</v>
      </c>
      <c r="F25" s="387"/>
      <c r="G25" s="388"/>
      <c r="H25" s="71"/>
      <c r="I25" s="71"/>
      <c r="J25" s="72">
        <f>SUM(J10:J13,J15:J16,J21:J24)</f>
        <v>6.5</v>
      </c>
      <c r="K25" s="72">
        <f t="shared" ref="K25:M25" si="1">SUM(K10:K13,K15:K16,K21:K24)</f>
        <v>7</v>
      </c>
      <c r="L25" s="72">
        <f t="shared" si="1"/>
        <v>7</v>
      </c>
      <c r="M25" s="72">
        <f t="shared" si="1"/>
        <v>7</v>
      </c>
      <c r="N25" s="72">
        <f t="shared" ref="N25" si="2">SUM(N10:N13,N15:N16,N22:N24)</f>
        <v>8.5</v>
      </c>
    </row>
    <row r="26" spans="1:17" s="7" customFormat="1" ht="38.25" customHeight="1" thickBot="1" x14ac:dyDescent="0.4">
      <c r="A26" s="394" t="s">
        <v>165</v>
      </c>
      <c r="B26" s="424"/>
      <c r="C26" s="211">
        <f>C20+C18</f>
        <v>2541</v>
      </c>
      <c r="D26" s="273">
        <f>D18+D20</f>
        <v>1353</v>
      </c>
      <c r="E26" s="342">
        <f>E25</f>
        <v>1188</v>
      </c>
      <c r="F26" s="343"/>
      <c r="G26" s="344"/>
      <c r="H26" s="271"/>
      <c r="I26" s="271"/>
      <c r="J26" s="272"/>
      <c r="K26" s="272"/>
      <c r="L26" s="272"/>
      <c r="M26" s="272"/>
      <c r="N26" s="272"/>
    </row>
    <row r="27" spans="1:17" s="7" customFormat="1" ht="34.950000000000003" customHeight="1" thickBot="1" x14ac:dyDescent="0.4">
      <c r="A27" s="450" t="s">
        <v>169</v>
      </c>
      <c r="B27" s="430"/>
      <c r="C27" s="459"/>
      <c r="D27" s="460"/>
      <c r="E27" s="431"/>
      <c r="F27" s="432"/>
      <c r="G27" s="433"/>
      <c r="H27" s="143">
        <v>20</v>
      </c>
      <c r="I27" s="144">
        <v>6</v>
      </c>
      <c r="J27" s="145"/>
      <c r="K27" s="145"/>
      <c r="L27" s="145"/>
      <c r="M27" s="145"/>
      <c r="N27" s="146"/>
    </row>
    <row r="28" spans="1:17" s="7" customFormat="1" ht="29.4" customHeight="1" thickTop="1" thickBot="1" x14ac:dyDescent="0.4">
      <c r="A28" s="116" t="s">
        <v>73</v>
      </c>
      <c r="B28" s="97" t="s">
        <v>74</v>
      </c>
      <c r="C28" s="362">
        <f>E28</f>
        <v>148</v>
      </c>
      <c r="D28" s="421"/>
      <c r="E28" s="362">
        <f>E31+F33+G32+F30+G29+F34</f>
        <v>148</v>
      </c>
      <c r="F28" s="363"/>
      <c r="G28" s="364"/>
      <c r="H28" s="74"/>
      <c r="I28" s="74"/>
      <c r="J28" s="403" t="s">
        <v>91</v>
      </c>
      <c r="K28" s="420"/>
      <c r="L28" s="420"/>
      <c r="M28" s="420"/>
      <c r="N28" s="404"/>
    </row>
    <row r="29" spans="1:17" s="7" customFormat="1" ht="30" customHeight="1" thickBot="1" x14ac:dyDescent="0.4">
      <c r="A29" s="6" t="s">
        <v>75</v>
      </c>
      <c r="B29" s="69" t="s">
        <v>7</v>
      </c>
      <c r="C29" s="124"/>
      <c r="D29" s="124"/>
      <c r="E29" s="58"/>
      <c r="F29" s="51"/>
      <c r="G29" s="59">
        <f>J29+K29+L29+M29+N29</f>
        <v>58</v>
      </c>
      <c r="H29" s="5"/>
      <c r="I29" s="5"/>
      <c r="J29" s="4">
        <v>10</v>
      </c>
      <c r="K29" s="4">
        <v>10</v>
      </c>
      <c r="L29" s="4">
        <v>12</v>
      </c>
      <c r="M29" s="4">
        <v>12</v>
      </c>
      <c r="N29" s="4">
        <v>14</v>
      </c>
    </row>
    <row r="30" spans="1:17" s="7" customFormat="1" ht="30" customHeight="1" thickBot="1" x14ac:dyDescent="0.4">
      <c r="A30" s="6" t="s">
        <v>76</v>
      </c>
      <c r="B30" s="69" t="s">
        <v>95</v>
      </c>
      <c r="C30" s="124"/>
      <c r="D30" s="124"/>
      <c r="E30" s="92"/>
      <c r="F30" s="61">
        <f>K30+L30+M30+N30+J30</f>
        <v>44</v>
      </c>
      <c r="G30" s="62"/>
      <c r="H30" s="5"/>
      <c r="I30" s="5"/>
      <c r="J30" s="4">
        <v>4</v>
      </c>
      <c r="K30" s="4">
        <v>8</v>
      </c>
      <c r="L30" s="4">
        <v>10</v>
      </c>
      <c r="M30" s="4">
        <v>10</v>
      </c>
      <c r="N30" s="4">
        <v>12</v>
      </c>
    </row>
    <row r="31" spans="1:17" s="7" customFormat="1" ht="30" customHeight="1" thickBot="1" x14ac:dyDescent="0.4">
      <c r="A31" s="6" t="s">
        <v>77</v>
      </c>
      <c r="B31" s="69" t="s">
        <v>96</v>
      </c>
      <c r="C31" s="124"/>
      <c r="D31" s="124"/>
      <c r="E31" s="60">
        <f>J31+K31+L31+M31+N31</f>
        <v>2</v>
      </c>
      <c r="F31" s="61"/>
      <c r="G31" s="62"/>
      <c r="H31" s="5"/>
      <c r="I31" s="5"/>
      <c r="J31" s="4">
        <v>2</v>
      </c>
      <c r="K31" s="4"/>
      <c r="L31" s="4"/>
      <c r="M31" s="4"/>
      <c r="N31" s="4"/>
    </row>
    <row r="32" spans="1:17" s="7" customFormat="1" ht="30" customHeight="1" thickBot="1" x14ac:dyDescent="0.4">
      <c r="A32" s="6" t="s">
        <v>78</v>
      </c>
      <c r="B32" s="69" t="s">
        <v>5</v>
      </c>
      <c r="C32" s="124"/>
      <c r="D32" s="124"/>
      <c r="E32" s="60"/>
      <c r="F32" s="61"/>
      <c r="G32" s="62">
        <f>J32+K32+L32+M32+N32</f>
        <v>16</v>
      </c>
      <c r="H32" s="5"/>
      <c r="I32" s="5"/>
      <c r="J32" s="4"/>
      <c r="K32" s="4">
        <v>4</v>
      </c>
      <c r="L32" s="4">
        <v>4</v>
      </c>
      <c r="M32" s="4">
        <v>4</v>
      </c>
      <c r="N32" s="4">
        <v>4</v>
      </c>
    </row>
    <row r="33" spans="1:14" s="7" customFormat="1" ht="30" customHeight="1" thickBot="1" x14ac:dyDescent="0.4">
      <c r="A33" s="6" t="s">
        <v>79</v>
      </c>
      <c r="B33" s="70" t="s">
        <v>1</v>
      </c>
      <c r="C33" s="232"/>
      <c r="D33" s="232"/>
      <c r="E33" s="63"/>
      <c r="F33" s="93">
        <f>J33+K33+L33+M33+N33</f>
        <v>18</v>
      </c>
      <c r="G33" s="94"/>
      <c r="H33" s="5"/>
      <c r="I33" s="5"/>
      <c r="J33" s="4">
        <v>2</v>
      </c>
      <c r="K33" s="4">
        <v>2</v>
      </c>
      <c r="L33" s="4">
        <v>4</v>
      </c>
      <c r="M33" s="4">
        <v>4</v>
      </c>
      <c r="N33" s="4">
        <v>6</v>
      </c>
    </row>
    <row r="34" spans="1:14" s="7" customFormat="1" ht="30" customHeight="1" thickBot="1" x14ac:dyDescent="0.4">
      <c r="A34" s="6" t="s">
        <v>110</v>
      </c>
      <c r="B34" s="70" t="s">
        <v>98</v>
      </c>
      <c r="C34" s="237"/>
      <c r="D34" s="232"/>
      <c r="E34" s="63"/>
      <c r="F34" s="93">
        <f>J34+K34+L34+M34+N34</f>
        <v>10</v>
      </c>
      <c r="G34" s="94"/>
      <c r="H34" s="5"/>
      <c r="I34" s="5"/>
      <c r="J34" s="4"/>
      <c r="K34" s="4">
        <v>2</v>
      </c>
      <c r="L34" s="4">
        <v>2</v>
      </c>
      <c r="M34" s="4">
        <v>2</v>
      </c>
      <c r="N34" s="4">
        <v>4</v>
      </c>
    </row>
    <row r="35" spans="1:14" s="90" customFormat="1" ht="30" customHeight="1" thickBot="1" x14ac:dyDescent="0.4">
      <c r="A35" s="365" t="s">
        <v>148</v>
      </c>
      <c r="B35" s="366"/>
      <c r="C35" s="185"/>
      <c r="D35" s="185"/>
      <c r="E35" s="87"/>
      <c r="F35" s="88"/>
      <c r="G35" s="89"/>
      <c r="H35" s="78"/>
      <c r="I35" s="78"/>
      <c r="J35" s="5">
        <f>SUM(J29:J34)</f>
        <v>18</v>
      </c>
      <c r="K35" s="5">
        <f>SUM(K29:K34)</f>
        <v>26</v>
      </c>
      <c r="L35" s="5">
        <f>SUM(L29:L34)</f>
        <v>32</v>
      </c>
      <c r="M35" s="5">
        <f>SUM(M29:M34)</f>
        <v>32</v>
      </c>
      <c r="N35" s="5">
        <f>SUM(N29:N34)</f>
        <v>40</v>
      </c>
    </row>
    <row r="36" spans="1:14" s="7" customFormat="1" ht="30" customHeight="1" thickBot="1" x14ac:dyDescent="0.4">
      <c r="A36" s="81"/>
      <c r="B36" s="82"/>
      <c r="C36" s="17"/>
      <c r="D36" s="17"/>
      <c r="E36" s="83"/>
      <c r="F36" s="84"/>
      <c r="G36" s="85"/>
      <c r="H36" s="17"/>
      <c r="I36" s="17"/>
      <c r="J36" s="19"/>
      <c r="K36" s="19"/>
      <c r="L36" s="19"/>
      <c r="M36" s="19"/>
      <c r="N36" s="19"/>
    </row>
    <row r="37" spans="1:14" s="7" customFormat="1" ht="30" customHeight="1" x14ac:dyDescent="0.35">
      <c r="A37" s="117" t="s">
        <v>80</v>
      </c>
      <c r="B37" s="77" t="s">
        <v>83</v>
      </c>
      <c r="C37" s="186"/>
      <c r="D37" s="186"/>
      <c r="E37" s="332" t="s">
        <v>94</v>
      </c>
      <c r="F37" s="333"/>
      <c r="G37" s="333"/>
      <c r="H37" s="333"/>
      <c r="I37" s="333"/>
      <c r="J37" s="333"/>
      <c r="K37" s="333"/>
      <c r="L37" s="333"/>
      <c r="M37" s="333"/>
      <c r="N37" s="333"/>
    </row>
    <row r="38" spans="1:14" s="7" customFormat="1" ht="30" customHeight="1" x14ac:dyDescent="0.35">
      <c r="A38" s="122" t="s">
        <v>81</v>
      </c>
      <c r="B38" s="75" t="s">
        <v>82</v>
      </c>
      <c r="C38" s="275">
        <f>J38+K38+L38+M38</f>
        <v>4</v>
      </c>
      <c r="D38" s="75"/>
      <c r="E38" s="95"/>
      <c r="F38" s="53"/>
      <c r="G38" s="75"/>
      <c r="H38" s="53"/>
      <c r="I38" s="53"/>
      <c r="J38" s="95">
        <v>1</v>
      </c>
      <c r="K38" s="95">
        <v>1</v>
      </c>
      <c r="L38" s="95">
        <v>1</v>
      </c>
      <c r="M38" s="95">
        <v>1</v>
      </c>
      <c r="N38" s="95"/>
    </row>
    <row r="39" spans="1:14" s="7" customFormat="1" ht="30" customHeight="1" x14ac:dyDescent="0.35">
      <c r="A39" s="122" t="s">
        <v>84</v>
      </c>
      <c r="B39" s="75" t="s">
        <v>85</v>
      </c>
      <c r="C39" s="75">
        <f>C40+C41+C42</f>
        <v>2</v>
      </c>
      <c r="D39" s="75"/>
      <c r="E39" s="53"/>
      <c r="F39" s="53"/>
      <c r="G39" s="75"/>
      <c r="H39" s="53"/>
      <c r="I39" s="53"/>
      <c r="J39" s="95"/>
      <c r="K39" s="95"/>
      <c r="L39" s="95"/>
      <c r="M39" s="95"/>
      <c r="N39" s="95">
        <v>2</v>
      </c>
    </row>
    <row r="40" spans="1:14" s="7" customFormat="1" ht="30" customHeight="1" x14ac:dyDescent="0.35">
      <c r="A40" s="122" t="s">
        <v>86</v>
      </c>
      <c r="B40" s="75" t="s">
        <v>89</v>
      </c>
      <c r="C40" s="75">
        <v>1</v>
      </c>
      <c r="D40" s="75"/>
      <c r="E40" s="53"/>
      <c r="F40" s="53"/>
      <c r="G40" s="75"/>
      <c r="H40" s="53"/>
      <c r="I40" s="53"/>
      <c r="J40" s="61"/>
      <c r="K40" s="61"/>
      <c r="L40" s="61"/>
      <c r="M40" s="61"/>
      <c r="N40" s="61"/>
    </row>
    <row r="41" spans="1:14" s="7" customFormat="1" ht="30" customHeight="1" x14ac:dyDescent="0.35">
      <c r="A41" s="122" t="s">
        <v>87</v>
      </c>
      <c r="B41" s="75" t="s">
        <v>1</v>
      </c>
      <c r="C41" s="75">
        <v>0.5</v>
      </c>
      <c r="D41" s="75"/>
      <c r="E41" s="53"/>
      <c r="F41" s="53"/>
      <c r="G41" s="75"/>
      <c r="H41" s="53"/>
      <c r="I41" s="53"/>
      <c r="J41" s="61"/>
      <c r="K41" s="61"/>
      <c r="L41" s="61"/>
      <c r="M41" s="61"/>
      <c r="N41" s="61"/>
    </row>
    <row r="42" spans="1:14" s="7" customFormat="1" ht="35.4" customHeight="1" thickBot="1" x14ac:dyDescent="0.4">
      <c r="A42" s="123" t="s">
        <v>88</v>
      </c>
      <c r="B42" s="100" t="s">
        <v>41</v>
      </c>
      <c r="C42" s="100">
        <v>0.5</v>
      </c>
      <c r="D42" s="100"/>
      <c r="E42" s="101"/>
      <c r="F42" s="101"/>
      <c r="G42" s="100"/>
      <c r="H42" s="101"/>
      <c r="I42" s="101"/>
      <c r="J42" s="91"/>
      <c r="K42" s="91"/>
      <c r="L42" s="91"/>
      <c r="M42" s="91"/>
      <c r="N42" s="91"/>
    </row>
    <row r="43" spans="1:14" s="7" customFormat="1" ht="30" customHeight="1" thickBot="1" x14ac:dyDescent="0.4">
      <c r="A43" s="335" t="s">
        <v>93</v>
      </c>
      <c r="B43" s="336"/>
      <c r="C43" s="276">
        <v>5</v>
      </c>
      <c r="D43" s="256"/>
      <c r="E43" s="103"/>
      <c r="F43" s="104"/>
      <c r="G43" s="105"/>
      <c r="H43" s="104"/>
      <c r="I43" s="104"/>
      <c r="J43" s="106"/>
      <c r="K43" s="106"/>
      <c r="L43" s="106"/>
      <c r="M43" s="106"/>
      <c r="N43" s="106"/>
    </row>
    <row r="44" spans="1:14" ht="40.200000000000003" customHeight="1" x14ac:dyDescent="0.3">
      <c r="A44" s="20"/>
      <c r="B44" s="21"/>
      <c r="C44" s="21"/>
      <c r="D44" s="21"/>
      <c r="E44" s="17"/>
      <c r="F44" s="18"/>
      <c r="G44" s="19"/>
      <c r="H44" s="17"/>
      <c r="I44" s="18"/>
      <c r="J44" s="19"/>
      <c r="K44" s="19"/>
      <c r="L44" s="19"/>
      <c r="M44" s="19"/>
      <c r="N44" s="19"/>
    </row>
    <row r="45" spans="1:14" ht="18" x14ac:dyDescent="0.3">
      <c r="A45" s="370"/>
      <c r="B45" s="370"/>
      <c r="C45" s="258"/>
      <c r="D45" s="258"/>
      <c r="E45" s="17"/>
      <c r="F45" s="18"/>
      <c r="G45" s="21"/>
      <c r="H45" s="17"/>
      <c r="I45" s="18"/>
      <c r="J45" s="21"/>
      <c r="K45" s="17"/>
      <c r="L45" s="17"/>
      <c r="M45" s="17"/>
      <c r="N45" s="17"/>
    </row>
    <row r="46" spans="1:14" ht="40.200000000000003" customHeight="1" x14ac:dyDescent="0.3">
      <c r="A46" s="20"/>
      <c r="B46" s="21"/>
      <c r="C46" s="21"/>
      <c r="D46" s="21"/>
      <c r="E46" s="17"/>
      <c r="F46" s="18"/>
      <c r="G46" s="19"/>
      <c r="H46" s="17"/>
      <c r="I46" s="18"/>
      <c r="J46" s="19"/>
      <c r="K46" s="19"/>
      <c r="L46" s="19"/>
      <c r="M46" s="19"/>
      <c r="N46" s="19"/>
    </row>
    <row r="47" spans="1:14" ht="40.200000000000003" customHeight="1" x14ac:dyDescent="0.3">
      <c r="A47" s="17"/>
      <c r="B47" s="22"/>
      <c r="C47" s="22"/>
      <c r="D47" s="22"/>
      <c r="E47" s="23"/>
      <c r="F47" s="18"/>
      <c r="G47" s="23"/>
      <c r="H47" s="23"/>
      <c r="I47" s="18"/>
      <c r="J47" s="23"/>
      <c r="K47" s="23"/>
      <c r="L47" s="23"/>
      <c r="M47" s="23"/>
      <c r="N47" s="23"/>
    </row>
  </sheetData>
  <mergeCells count="41">
    <mergeCell ref="E19:G19"/>
    <mergeCell ref="A25:B25"/>
    <mergeCell ref="E25:G25"/>
    <mergeCell ref="E28:G28"/>
    <mergeCell ref="E8:G8"/>
    <mergeCell ref="A27:B27"/>
    <mergeCell ref="E27:G27"/>
    <mergeCell ref="A19:B19"/>
    <mergeCell ref="E20:G20"/>
    <mergeCell ref="A18:B18"/>
    <mergeCell ref="E18:G18"/>
    <mergeCell ref="C19:D19"/>
    <mergeCell ref="C27:D27"/>
    <mergeCell ref="A26:B26"/>
    <mergeCell ref="E26:G26"/>
    <mergeCell ref="J8:N8"/>
    <mergeCell ref="E9:G9"/>
    <mergeCell ref="E14:G14"/>
    <mergeCell ref="A17:B17"/>
    <mergeCell ref="E17:G17"/>
    <mergeCell ref="C17:D17"/>
    <mergeCell ref="A2:N2"/>
    <mergeCell ref="E3:G3"/>
    <mergeCell ref="H3:I3"/>
    <mergeCell ref="J3:N3"/>
    <mergeCell ref="A6:A7"/>
    <mergeCell ref="B6:B7"/>
    <mergeCell ref="E6:G7"/>
    <mergeCell ref="H6:H7"/>
    <mergeCell ref="I6:I7"/>
    <mergeCell ref="J6:N6"/>
    <mergeCell ref="A3:A4"/>
    <mergeCell ref="B3:B4"/>
    <mergeCell ref="C6:C7"/>
    <mergeCell ref="D6:D7"/>
    <mergeCell ref="J28:N28"/>
    <mergeCell ref="A35:B35"/>
    <mergeCell ref="E37:N37"/>
    <mergeCell ref="A43:B43"/>
    <mergeCell ref="A45:B45"/>
    <mergeCell ref="C28:D28"/>
  </mergeCells>
  <pageMargins left="0.31496062992125984" right="0.31496062992125984" top="0.35433070866141736" bottom="0.55118110236220474" header="0.11811023622047245" footer="0.11811023622047245"/>
  <pageSetup paperSize="9" scale="71" orientation="landscape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титульный лист 1</vt:lpstr>
      <vt:lpstr>фортепиано ДПП</vt:lpstr>
      <vt:lpstr>фортепиано ДПП 9 класс</vt:lpstr>
      <vt:lpstr>Примечание к ОП Фортепиано</vt:lpstr>
      <vt:lpstr>струнные ДПП</vt:lpstr>
      <vt:lpstr>духовые,ударные ДПП-8</vt:lpstr>
      <vt:lpstr>духовые, ударные ДПП-5</vt:lpstr>
      <vt:lpstr>ОНИ ДПП-8</vt:lpstr>
      <vt:lpstr>ОНИ ДПП-5</vt:lpstr>
      <vt:lpstr>ОНИ ДПП-5 6 класс</vt:lpstr>
      <vt:lpstr>хоровое пение ДПП-8</vt:lpstr>
      <vt:lpstr>'духовые, ударные ДПП-5'!Область_печати</vt:lpstr>
      <vt:lpstr>'ОНИ ДПП-5'!Область_печати</vt:lpstr>
      <vt:lpstr>'титульный лист 1'!Область_печати</vt:lpstr>
      <vt:lpstr>'фортепиано ДПП'!Область_печати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UserM</cp:lastModifiedBy>
  <cp:lastPrinted>2022-11-30T07:25:10Z</cp:lastPrinted>
  <dcterms:created xsi:type="dcterms:W3CDTF">2017-04-07T06:57:44Z</dcterms:created>
  <dcterms:modified xsi:type="dcterms:W3CDTF">2022-11-30T07:25:21Z</dcterms:modified>
</cp:coreProperties>
</file>